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0.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charlesltd-my.sharepoint.com/personal/gcorrea_charlesriver_com_br/Documents/Documentos/Faculdade/Monografia/"/>
    </mc:Choice>
  </mc:AlternateContent>
  <xr:revisionPtr revIDLastSave="187" documentId="8_{74B83ACA-726A-4783-A7B7-765B4CD5B07A}" xr6:coauthVersionLast="47" xr6:coauthVersionMax="47" xr10:uidLastSave="{ADE47B2E-2484-4B12-883A-CCFDE7E90F60}"/>
  <bookViews>
    <workbookView xWindow="-28935" yWindow="-5985" windowWidth="29070" windowHeight="15750" tabRatio="862" firstSheet="10" activeTab="16" xr2:uid="{2CAE9757-8D53-466D-B94A-520D1E90EF1E}"/>
  </bookViews>
  <sheets>
    <sheet name="__snloffice" sheetId="38" state="veryHidden" r:id="rId1"/>
    <sheet name="FRADE &amp; WAHOO TP" sheetId="18" r:id="rId2"/>
    <sheet name="FRADE &amp; WAHOO 2P" sheetId="19" r:id="rId3"/>
    <sheet name="FRADE &amp; WAHOO 3P" sheetId="20" r:id="rId4"/>
    <sheet name="Polvo &amp; TBMT TP" sheetId="28" r:id="rId5"/>
    <sheet name="Polvo &amp; TBMT 2P" sheetId="29" r:id="rId6"/>
    <sheet name="Polvo &amp; TBMT 3P" sheetId="30" r:id="rId7"/>
    <sheet name="Albacora Leste TP" sheetId="33" r:id="rId8"/>
    <sheet name="Albacora Leste 2P" sheetId="34" r:id="rId9"/>
    <sheet name="Albacora Leste 3P" sheetId="35" r:id="rId10"/>
    <sheet name="Receita Líquida - O&amp;G" sheetId="8" r:id="rId11"/>
    <sheet name="CAPEX, Impostos e Abandono ($)" sheetId="12" r:id="rId12"/>
    <sheet name="CAPEX, D&amp;A, Imob&amp;Intang" sheetId="37" r:id="rId13"/>
    <sheet name="_CIQHiddenCacheSheet" sheetId="57" state="veryHidden" r:id="rId14"/>
    <sheet name="Resultado Financeiro e Dívida" sheetId="36" r:id="rId15"/>
    <sheet name="Balanço Planilhado" sheetId="39" r:id="rId16"/>
    <sheet name="Fluxo de Caixa dos Acionistas" sheetId="40" r:id="rId17"/>
    <sheet name="Avaliação e Simulações" sheetId="15" r:id="rId18"/>
    <sheet name="Drivers Macroeconômico" sheetId="44" r:id="rId19"/>
    <sheet name="DRE - Economática" sheetId="58" r:id="rId20"/>
    <sheet name="Fluxo de Caixa Planilhado" sheetId="41" r:id="rId21"/>
    <sheet name="Infos - Release Operacional" sheetId="53" r:id="rId22"/>
    <sheet name="Gráficos - Monografia" sheetId="54" r:id="rId23"/>
  </sheets>
  <definedNames>
    <definedName name="\A" localSheetId="9">#REF!</definedName>
    <definedName name="\A">#REF!</definedName>
    <definedName name="\B" localSheetId="9">#REF!</definedName>
    <definedName name="\B" localSheetId="3">#REF!</definedName>
    <definedName name="\B" localSheetId="1">#REF!</definedName>
    <definedName name="\B" localSheetId="6">#REF!</definedName>
    <definedName name="\B" localSheetId="4">#REF!</definedName>
    <definedName name="\B">#REF!</definedName>
    <definedName name="\C" localSheetId="9">#REF!</definedName>
    <definedName name="\C" localSheetId="3">#REF!</definedName>
    <definedName name="\C" localSheetId="1">#REF!</definedName>
    <definedName name="\C" localSheetId="6">#REF!</definedName>
    <definedName name="\C" localSheetId="4">#REF!</definedName>
    <definedName name="\C">#REF!</definedName>
    <definedName name="\D" localSheetId="3">#REF!</definedName>
    <definedName name="\D" localSheetId="1">#REF!</definedName>
    <definedName name="\D" localSheetId="6">#REF!</definedName>
    <definedName name="\D" localSheetId="4">#REF!</definedName>
    <definedName name="\D">#REF!</definedName>
    <definedName name="\E" localSheetId="3">#REF!</definedName>
    <definedName name="\E" localSheetId="1">#REF!</definedName>
    <definedName name="\E" localSheetId="6">#REF!</definedName>
    <definedName name="\E" localSheetId="4">#REF!</definedName>
    <definedName name="\E">#REF!</definedName>
    <definedName name="\F" localSheetId="9">#REF!</definedName>
    <definedName name="\F">#REF!</definedName>
    <definedName name="\M" localSheetId="9">#REF!</definedName>
    <definedName name="\M" localSheetId="3">#REF!</definedName>
    <definedName name="\M" localSheetId="1">#REF!</definedName>
    <definedName name="\M" localSheetId="6">#REF!</definedName>
    <definedName name="\M" localSheetId="4">#REF!</definedName>
    <definedName name="\M">#REF!</definedName>
    <definedName name="\P">#REF!</definedName>
    <definedName name="\R" localSheetId="9">#REF!</definedName>
    <definedName name="\R" localSheetId="3">#REF!</definedName>
    <definedName name="\R" localSheetId="1">#REF!</definedName>
    <definedName name="\R" localSheetId="6">#REF!</definedName>
    <definedName name="\R" localSheetId="4">#REF!</definedName>
    <definedName name="\R">#REF!</definedName>
    <definedName name="\S" localSheetId="9">#REF!</definedName>
    <definedName name="\S" localSheetId="3">#REF!</definedName>
    <definedName name="\S" localSheetId="1">#REF!</definedName>
    <definedName name="\S" localSheetId="6">#REF!</definedName>
    <definedName name="\S" localSheetId="4">#REF!</definedName>
    <definedName name="\S">#REF!</definedName>
    <definedName name="\T" localSheetId="9">#REF!</definedName>
    <definedName name="\T" localSheetId="3">#REF!</definedName>
    <definedName name="\T" localSheetId="1">#REF!</definedName>
    <definedName name="\T" localSheetId="6">#REF!</definedName>
    <definedName name="\T" localSheetId="4">#REF!</definedName>
    <definedName name="\T">#REF!</definedName>
    <definedName name="\W" localSheetId="3">#REF!</definedName>
    <definedName name="\W" localSheetId="1">#REF!</definedName>
    <definedName name="\W" localSheetId="6">#REF!</definedName>
    <definedName name="\W" localSheetId="4">#REF!</definedName>
    <definedName name="\W">#REF!</definedName>
    <definedName name="\Z" localSheetId="3">#REF!</definedName>
    <definedName name="\Z" localSheetId="1">#REF!</definedName>
    <definedName name="\Z" localSheetId="6">#REF!</definedName>
    <definedName name="\Z" localSheetId="4">#REF!</definedName>
    <definedName name="\Z">#REF!</definedName>
    <definedName name="_____1111" localSheetId="9">#REF!</definedName>
    <definedName name="_____1111">#REF!</definedName>
    <definedName name="____2222" localSheetId="9">#REF!</definedName>
    <definedName name="____2222">#REF!</definedName>
    <definedName name="____TI1">#REF!</definedName>
    <definedName name="____TI2">#REF!</definedName>
    <definedName name="___1111" localSheetId="9">#REF!</definedName>
    <definedName name="___1111">#REF!</definedName>
    <definedName name="___2222" localSheetId="9">#REF!</definedName>
    <definedName name="___2222">#REF!</definedName>
    <definedName name="__1111" localSheetId="9">#REF!</definedName>
    <definedName name="__1111">#REF!</definedName>
    <definedName name="__123Graph_AFRQACIRR" hidden="1">#REF!</definedName>
    <definedName name="__123Graph_AFRQACNPV" hidden="1">#REF!</definedName>
    <definedName name="__123Graph_AFRQACRES" hidden="1">#REF!</definedName>
    <definedName name="__123Graph_AHSTGIRR" hidden="1">#REF!</definedName>
    <definedName name="__123Graph_AHSTGNPV" hidden="1">#REF!</definedName>
    <definedName name="__123Graph_AHSTGRES" hidden="1">#REF!</definedName>
    <definedName name="__123Graph_X" hidden="1">#REF!</definedName>
    <definedName name="__123Graph_XFRQACNPV" hidden="1">#REF!</definedName>
    <definedName name="__123Graph_XFRQACRES" hidden="1">#REF!</definedName>
    <definedName name="__2222" localSheetId="9">#REF!</definedName>
    <definedName name="__2222">#REF!</definedName>
    <definedName name="__TI1">#REF!</definedName>
    <definedName name="__TI2">#REF!</definedName>
    <definedName name="_0" localSheetId="9">#REF!</definedName>
    <definedName name="_0">#REF!</definedName>
    <definedName name="_1" localSheetId="9">#REF!</definedName>
    <definedName name="_1" localSheetId="3">#REF!</definedName>
    <definedName name="_1" localSheetId="1">#REF!</definedName>
    <definedName name="_1" localSheetId="6">#REF!</definedName>
    <definedName name="_1" localSheetId="4">#REF!</definedName>
    <definedName name="_1">#REF!</definedName>
    <definedName name="_1_0A635" localSheetId="3">#REF!</definedName>
    <definedName name="_1_0A635" localSheetId="1">#REF!</definedName>
    <definedName name="_1_0A635" localSheetId="6">#REF!</definedName>
    <definedName name="_1_0A635" localSheetId="4">#REF!</definedName>
    <definedName name="_1_0A635">#REF!</definedName>
    <definedName name="_1111" localSheetId="9">#REF!</definedName>
    <definedName name="_1111">#REF!</definedName>
    <definedName name="_12_323">#REF!</definedName>
    <definedName name="_2">#REF!</definedName>
    <definedName name="_2_1111" localSheetId="9">#REF!</definedName>
    <definedName name="_2_1111">#REF!</definedName>
    <definedName name="_2222" localSheetId="9">#REF!</definedName>
    <definedName name="_2222">#REF!</definedName>
    <definedName name="_2Módulo1_.Insertar">#N/A</definedName>
    <definedName name="_3">#REF!</definedName>
    <definedName name="_3_0_0_F" localSheetId="9" hidden="1">#REF!</definedName>
    <definedName name="_3_0_0_F" localSheetId="3" hidden="1">#REF!</definedName>
    <definedName name="_3_0_0_F" localSheetId="1" hidden="1">#REF!</definedName>
    <definedName name="_3_0_0_F" localSheetId="6" hidden="1">#REF!</definedName>
    <definedName name="_3_0_0_F" localSheetId="4" hidden="1">#REF!</definedName>
    <definedName name="_3_0_0_F" hidden="1">#REF!</definedName>
    <definedName name="_3_2222" localSheetId="9">#REF!</definedName>
    <definedName name="_3_2222">#REF!</definedName>
    <definedName name="_4_261">#REF!</definedName>
    <definedName name="_4PLANILLA_8B" localSheetId="9">#REF!</definedName>
    <definedName name="_4PLANILLA_8B">#REF!</definedName>
    <definedName name="_5PLANILLA_9B" localSheetId="9">#REF!</definedName>
    <definedName name="_5PLANILLA_9B">#REF!</definedName>
    <definedName name="_8_322">#REF!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ON1" localSheetId="9">#REF!</definedName>
    <definedName name="_BON1" localSheetId="3">#REF!</definedName>
    <definedName name="_BON1" localSheetId="1">#REF!</definedName>
    <definedName name="_BON1" localSheetId="6">#REF!</definedName>
    <definedName name="_BON1" localSheetId="4">#REF!</definedName>
    <definedName name="_BON1">#REF!</definedName>
    <definedName name="_BON2" localSheetId="9">#REF!</definedName>
    <definedName name="_BON2" localSheetId="3">#REF!</definedName>
    <definedName name="_BON2" localSheetId="1">#REF!</definedName>
    <definedName name="_BON2" localSheetId="6">#REF!</definedName>
    <definedName name="_BON2" localSheetId="4">#REF!</definedName>
    <definedName name="_BON2">#REF!</definedName>
    <definedName name="_BON3" localSheetId="9">#REF!</definedName>
    <definedName name="_BON3" localSheetId="3">#REF!</definedName>
    <definedName name="_BON3" localSheetId="1">#REF!</definedName>
    <definedName name="_BON3" localSheetId="6">#REF!</definedName>
    <definedName name="_BON3" localSheetId="4">#REF!</definedName>
    <definedName name="_BON3">#REF!</definedName>
    <definedName name="_BON4" localSheetId="9">#REF!</definedName>
    <definedName name="_BON4" localSheetId="3">#REF!</definedName>
    <definedName name="_BON4" localSheetId="1">#REF!</definedName>
    <definedName name="_BON4" localSheetId="6">#REF!</definedName>
    <definedName name="_BON4" localSheetId="4">#REF!</definedName>
    <definedName name="_BON4">#REF!</definedName>
    <definedName name="_BON5" localSheetId="9">#REF!</definedName>
    <definedName name="_BON5" localSheetId="3">#REF!</definedName>
    <definedName name="_BON5" localSheetId="1">#REF!</definedName>
    <definedName name="_BON5" localSheetId="6">#REF!</definedName>
    <definedName name="_BON5" localSheetId="4">#REF!</definedName>
    <definedName name="_BON5">#REF!</definedName>
    <definedName name="_BON6" localSheetId="9">#REF!</definedName>
    <definedName name="_BON6" localSheetId="3">#REF!</definedName>
    <definedName name="_BON6" localSheetId="1">#REF!</definedName>
    <definedName name="_BON6" localSheetId="6">#REF!</definedName>
    <definedName name="_BON6" localSheetId="4">#REF!</definedName>
    <definedName name="_BON6">#REF!</definedName>
    <definedName name="_CDR10" localSheetId="9">#REF!</definedName>
    <definedName name="_CDR10" localSheetId="3">#REF!</definedName>
    <definedName name="_CDR10" localSheetId="1">#REF!</definedName>
    <definedName name="_CDR10" localSheetId="6">#REF!</definedName>
    <definedName name="_CDR10" localSheetId="4">#REF!</definedName>
    <definedName name="_CDR10">#REF!</definedName>
    <definedName name="_CDR2" localSheetId="9">#REF!</definedName>
    <definedName name="_CDR2" localSheetId="3">#REF!</definedName>
    <definedName name="_CDR2" localSheetId="1">#REF!</definedName>
    <definedName name="_CDR2" localSheetId="6">#REF!</definedName>
    <definedName name="_CDR2" localSheetId="4">#REF!</definedName>
    <definedName name="_CDR2">#REF!</definedName>
    <definedName name="_CDR3" localSheetId="9">#REF!</definedName>
    <definedName name="_CDR3" localSheetId="3">#REF!</definedName>
    <definedName name="_CDR3" localSheetId="1">#REF!</definedName>
    <definedName name="_CDR3" localSheetId="6">#REF!</definedName>
    <definedName name="_CDR3" localSheetId="4">#REF!</definedName>
    <definedName name="_CDR3">#REF!</definedName>
    <definedName name="_CDR4" localSheetId="9">#REF!</definedName>
    <definedName name="_CDR4" localSheetId="3">#REF!</definedName>
    <definedName name="_CDR4" localSheetId="1">#REF!</definedName>
    <definedName name="_CDR4" localSheetId="6">#REF!</definedName>
    <definedName name="_CDR4" localSheetId="4">#REF!</definedName>
    <definedName name="_CDR4">#REF!</definedName>
    <definedName name="_CDR5" localSheetId="9">#REF!</definedName>
    <definedName name="_CDR5" localSheetId="3">#REF!</definedName>
    <definedName name="_CDR5" localSheetId="1">#REF!</definedName>
    <definedName name="_CDR5" localSheetId="6">#REF!</definedName>
    <definedName name="_CDR5" localSheetId="4">#REF!</definedName>
    <definedName name="_CDR5">#REF!</definedName>
    <definedName name="_CDR6" localSheetId="9">#REF!</definedName>
    <definedName name="_CDR6" localSheetId="3">#REF!</definedName>
    <definedName name="_CDR6" localSheetId="1">#REF!</definedName>
    <definedName name="_CDR6" localSheetId="6">#REF!</definedName>
    <definedName name="_CDR6" localSheetId="4">#REF!</definedName>
    <definedName name="_CDR6">#REF!</definedName>
    <definedName name="_CDR7" localSheetId="9">#REF!</definedName>
    <definedName name="_CDR7" localSheetId="3">#REF!</definedName>
    <definedName name="_CDR7" localSheetId="1">#REF!</definedName>
    <definedName name="_CDR7" localSheetId="6">#REF!</definedName>
    <definedName name="_CDR7" localSheetId="4">#REF!</definedName>
    <definedName name="_CDR7">#REF!</definedName>
    <definedName name="_CDR8" localSheetId="9">#REF!</definedName>
    <definedName name="_CDR8" localSheetId="3">#REF!</definedName>
    <definedName name="_CDR8" localSheetId="1">#REF!</definedName>
    <definedName name="_CDR8" localSheetId="6">#REF!</definedName>
    <definedName name="_CDR8" localSheetId="4">#REF!</definedName>
    <definedName name="_CDR8">#REF!</definedName>
    <definedName name="_CDR9" localSheetId="9">#REF!</definedName>
    <definedName name="_CDR9" localSheetId="3">#REF!</definedName>
    <definedName name="_CDR9" localSheetId="1">#REF!</definedName>
    <definedName name="_CDR9" localSheetId="6">#REF!</definedName>
    <definedName name="_CDR9" localSheetId="4">#REF!</definedName>
    <definedName name="_CDR9">#REF!</definedName>
    <definedName name="_DIF1">#REF!</definedName>
    <definedName name="_DIF2">#REF!</definedName>
    <definedName name="_DIF3">#REF!</definedName>
    <definedName name="_DIF4">#REF!</definedName>
    <definedName name="_Fill" localSheetId="9" hidden="1">#REF!</definedName>
    <definedName name="_Fill" localSheetId="3" hidden="1">#REF!</definedName>
    <definedName name="_Fill" localSheetId="1" hidden="1">#REF!</definedName>
    <definedName name="_Fill" localSheetId="6" hidden="1">#REF!</definedName>
    <definedName name="_Fill" localSheetId="4" hidden="1">#REF!</definedName>
    <definedName name="_Fill" hidden="1">#REF!</definedName>
    <definedName name="_jpg2" localSheetId="9" hidden="1">{"fullwell,pg1",#N/A,FALSE,"Full-Wellstream";"fullwell,pg2+",#N/A,FALSE,"Full-Wellstream"}</definedName>
    <definedName name="_jpg2" hidden="1">{"fullwell,pg1",#N/A,FALSE,"Full-Wellstream";"fullwell,pg2+",#N/A,FALSE,"Full-Wellstream"}</definedName>
    <definedName name="_jpg3" localSheetId="9" hidden="1">{"param,pg1",#N/A,FALSE,"Parameters";"param,pg2",#N/A,FALSE,"Parameters"}</definedName>
    <definedName name="_jpg3" hidden="1">{"param,pg1",#N/A,FALSE,"Parameters";"param,pg2",#N/A,FALSE,"Parameters"}</definedName>
    <definedName name="_Key1" localSheetId="9" hidden="1">#REF!</definedName>
    <definedName name="_Key1" localSheetId="3" hidden="1">#REF!</definedName>
    <definedName name="_Key1" localSheetId="1" hidden="1">#REF!</definedName>
    <definedName name="_Key1" localSheetId="6" hidden="1">#REF!</definedName>
    <definedName name="_Key1" localSheetId="4" hidden="1">#REF!</definedName>
    <definedName name="_Key1" hidden="1">#REF!</definedName>
    <definedName name="_Key2" localSheetId="9" hidden="1">#REF!</definedName>
    <definedName name="_Key2" hidden="1">#REF!</definedName>
    <definedName name="_Nit2">#REF!</definedName>
    <definedName name="_NPV12">#REF!</definedName>
    <definedName name="_NPV15">#REF!</definedName>
    <definedName name="_NPV8">#REF!</definedName>
    <definedName name="_Order1" hidden="1">255</definedName>
    <definedName name="_Order2" hidden="1">255</definedName>
    <definedName name="_PR1" localSheetId="9">#REF!</definedName>
    <definedName name="_PR1" localSheetId="3">#REF!</definedName>
    <definedName name="_PR1" localSheetId="1">#REF!</definedName>
    <definedName name="_PR1" localSheetId="6">#REF!</definedName>
    <definedName name="_PR1" localSheetId="4">#REF!</definedName>
    <definedName name="_PR1">#REF!</definedName>
    <definedName name="_PSV1">#REF!</definedName>
    <definedName name="_PSV2">#REF!</definedName>
    <definedName name="_PSV3">#REF!</definedName>
    <definedName name="_PSV4">#REF!</definedName>
    <definedName name="_PSV5">#REF!</definedName>
    <definedName name="_PSV6">#REF!</definedName>
    <definedName name="_PTY1">#REF!</definedName>
    <definedName name="_PTY2">#REF!</definedName>
    <definedName name="_PTY3">#REF!</definedName>
    <definedName name="_PTY4">#REF!</definedName>
    <definedName name="_PTY5">#REF!</definedName>
    <definedName name="_Sort" localSheetId="9" hidden="1">#REF!</definedName>
    <definedName name="_Sort" localSheetId="3" hidden="1">#REF!</definedName>
    <definedName name="_Sort" localSheetId="1" hidden="1">#REF!</definedName>
    <definedName name="_Sort" localSheetId="6" hidden="1">#REF!</definedName>
    <definedName name="_Sort" localSheetId="4" hidden="1">#REF!</definedName>
    <definedName name="_Sort" hidden="1">#REF!</definedName>
    <definedName name="_TAB1">#REF!</definedName>
    <definedName name="_Table1_In1" hidden="1">#REF!</definedName>
    <definedName name="_Table1_Out" localSheetId="9" hidden="1">#REF!</definedName>
    <definedName name="_Table1_Out" localSheetId="3" hidden="1">#REF!</definedName>
    <definedName name="_Table1_Out" localSheetId="1" hidden="1">#REF!</definedName>
    <definedName name="_Table1_Out" localSheetId="6" hidden="1">#REF!</definedName>
    <definedName name="_Table1_Out" localSheetId="4" hidden="1">#REF!</definedName>
    <definedName name="_Table1_Out" hidden="1">#REF!</definedName>
    <definedName name="_Table2_In1" hidden="1">#REF!</definedName>
    <definedName name="_Table2_In2" hidden="1">#REF!</definedName>
    <definedName name="_Table2_Out" localSheetId="9" hidden="1">#REF!</definedName>
    <definedName name="_Table2_Out" localSheetId="3" hidden="1">#REF!</definedName>
    <definedName name="_Table2_Out" localSheetId="1" hidden="1">#REF!</definedName>
    <definedName name="_Table2_Out" localSheetId="6" hidden="1">#REF!</definedName>
    <definedName name="_Table2_Out" localSheetId="4" hidden="1">#REF!</definedName>
    <definedName name="_Table2_Out" hidden="1">#REF!</definedName>
    <definedName name="a">#REF!</definedName>
    <definedName name="a_a310">#REF!</definedName>
    <definedName name="a_g105">#REF!</definedName>
    <definedName name="a_g200">#REF!</definedName>
    <definedName name="A_impresión_IM" localSheetId="9">#REF!</definedName>
    <definedName name="A_impresión_IM" localSheetId="3">#REF!</definedName>
    <definedName name="A_impresión_IM" localSheetId="1">#REF!</definedName>
    <definedName name="A_impresión_IM" localSheetId="6">#REF!</definedName>
    <definedName name="A_impresión_IM" localSheetId="4">#REF!</definedName>
    <definedName name="A_impresión_IM">#REF!</definedName>
    <definedName name="aa" localSheetId="9">#REF!</definedName>
    <definedName name="aa">#REF!</definedName>
    <definedName name="AAA" localSheetId="9">#REF!</definedName>
    <definedName name="AAA" localSheetId="3">#REF!</definedName>
    <definedName name="AAA" localSheetId="1">#REF!</definedName>
    <definedName name="AAA" localSheetId="6">#REF!</definedName>
    <definedName name="AAA" localSheetId="4">#REF!</definedName>
    <definedName name="AAA">#REF!</definedName>
    <definedName name="ABBOT_P_P_P">#REF!</definedName>
    <definedName name="ABBOT_PROB">#REF!</definedName>
    <definedName name="AbreMemorias">#N/A</definedName>
    <definedName name="Acc">#REF!</definedName>
    <definedName name="AccessDatabase" hidden="1">"C:\Project\Qasr\PSumTops.mdb"</definedName>
    <definedName name="ACM" localSheetId="9">#REF!</definedName>
    <definedName name="ACM" localSheetId="3">#REF!</definedName>
    <definedName name="ACM" localSheetId="1">#REF!</definedName>
    <definedName name="ACM" localSheetId="6">#REF!</definedName>
    <definedName name="ACM" localSheetId="4">#REF!</definedName>
    <definedName name="ACM">#REF!</definedName>
    <definedName name="Acres">1</definedName>
    <definedName name="ACT_10" localSheetId="9">#REF!</definedName>
    <definedName name="ACT_10" localSheetId="3">#REF!</definedName>
    <definedName name="ACT_10" localSheetId="1">#REF!</definedName>
    <definedName name="ACT_10" localSheetId="6">#REF!</definedName>
    <definedName name="ACT_10" localSheetId="4">#REF!</definedName>
    <definedName name="ACT_10">#REF!</definedName>
    <definedName name="ACT_11" localSheetId="9">#REF!</definedName>
    <definedName name="ACT_11" localSheetId="3">#REF!</definedName>
    <definedName name="ACT_11" localSheetId="1">#REF!</definedName>
    <definedName name="ACT_11" localSheetId="6">#REF!</definedName>
    <definedName name="ACT_11" localSheetId="4">#REF!</definedName>
    <definedName name="ACT_11">#REF!</definedName>
    <definedName name="ACT_12" localSheetId="9">#REF!</definedName>
    <definedName name="ACT_12" localSheetId="3">#REF!</definedName>
    <definedName name="ACT_12" localSheetId="1">#REF!</definedName>
    <definedName name="ACT_12" localSheetId="6">#REF!</definedName>
    <definedName name="ACT_12" localSheetId="4">#REF!</definedName>
    <definedName name="ACT_12">#REF!</definedName>
    <definedName name="ACT_13" localSheetId="9">#REF!</definedName>
    <definedName name="ACT_13" localSheetId="3">#REF!</definedName>
    <definedName name="ACT_13" localSheetId="1">#REF!</definedName>
    <definedName name="ACT_13" localSheetId="6">#REF!</definedName>
    <definedName name="ACT_13" localSheetId="4">#REF!</definedName>
    <definedName name="ACT_13">#REF!</definedName>
    <definedName name="ACT_14" localSheetId="9">#REF!</definedName>
    <definedName name="ACT_14" localSheetId="3">#REF!</definedName>
    <definedName name="ACT_14" localSheetId="1">#REF!</definedName>
    <definedName name="ACT_14" localSheetId="6">#REF!</definedName>
    <definedName name="ACT_14" localSheetId="4">#REF!</definedName>
    <definedName name="ACT_14">#REF!</definedName>
    <definedName name="ACT_7" localSheetId="9">#REF!</definedName>
    <definedName name="ACT_7" localSheetId="3">#REF!</definedName>
    <definedName name="ACT_7" localSheetId="1">#REF!</definedName>
    <definedName name="ACT_7" localSheetId="6">#REF!</definedName>
    <definedName name="ACT_7" localSheetId="4">#REF!</definedName>
    <definedName name="ACT_7">#REF!</definedName>
    <definedName name="ACT_8" localSheetId="9">#REF!</definedName>
    <definedName name="ACT_8" localSheetId="3">#REF!</definedName>
    <definedName name="ACT_8" localSheetId="1">#REF!</definedName>
    <definedName name="ACT_8" localSheetId="6">#REF!</definedName>
    <definedName name="ACT_8" localSheetId="4">#REF!</definedName>
    <definedName name="ACT_8">#REF!</definedName>
    <definedName name="ACT_9" localSheetId="9">#REF!</definedName>
    <definedName name="ACT_9" localSheetId="3">#REF!</definedName>
    <definedName name="ACT_9" localSheetId="1">#REF!</definedName>
    <definedName name="ACT_9" localSheetId="6">#REF!</definedName>
    <definedName name="ACT_9" localSheetId="4">#REF!</definedName>
    <definedName name="ACT_9">#REF!</definedName>
    <definedName name="adf" hidden="1">#REF!</definedName>
    <definedName name="AGUAACUM" localSheetId="9">#REF!</definedName>
    <definedName name="AGUAACUM">#REF!</definedName>
    <definedName name="AGUAMES" localSheetId="9">#REF!</definedName>
    <definedName name="AGUAMES">#REF!</definedName>
    <definedName name="ai">#REF!</definedName>
    <definedName name="AINDIC" localSheetId="9">#REF!</definedName>
    <definedName name="AINDIC">#REF!</definedName>
    <definedName name="ALFA">#REF!</definedName>
    <definedName name="AMETHYST_PROB">#REF!</definedName>
    <definedName name="AMETHYST_PROVED">#REF!</definedName>
    <definedName name="Ang" localSheetId="9">#REF!</definedName>
    <definedName name="Ang" localSheetId="3">#REF!</definedName>
    <definedName name="Ang" localSheetId="1">#REF!</definedName>
    <definedName name="Ang" localSheetId="6">#REF!</definedName>
    <definedName name="Ang" localSheetId="4">#REF!</definedName>
    <definedName name="Ang">#REF!</definedName>
    <definedName name="ANGLIA_PROB_POS">#REF!</definedName>
    <definedName name="ANGLIA_PROVED">#REF!</definedName>
    <definedName name="ANIO" localSheetId="9">#REF!</definedName>
    <definedName name="ANIO">#REF!</definedName>
    <definedName name="Año">#REF!</definedName>
    <definedName name="Año_control">#REF!</definedName>
    <definedName name="Año_inicio">#REF!</definedName>
    <definedName name="años_recup">#REF!</definedName>
    <definedName name="aod" localSheetId="9">#REF!</definedName>
    <definedName name="aod">#REF!</definedName>
    <definedName name="APPLETON_POSS">#REF!</definedName>
    <definedName name="APPLETON_PROB">#REF!</definedName>
    <definedName name="ARBR_40_S_P_P_P">#REF!</definedName>
    <definedName name="ARBR_ZECH_P_P_P">#REF!</definedName>
    <definedName name="_xlnm.Extract">#REF!</definedName>
    <definedName name="_xlnm.Print_Area" localSheetId="8">'Albacora Leste 2P'!$A$1:$AI$75</definedName>
    <definedName name="_xlnm.Print_Area" localSheetId="9">'Albacora Leste 3P'!$A$1:$AE$75</definedName>
    <definedName name="_xlnm.Print_Area" localSheetId="7">'Albacora Leste TP'!$A$1:$AE$74</definedName>
    <definedName name="_xlnm.Print_Area" localSheetId="2">'FRADE &amp; WAHOO 2P'!$A$1:$AC$75</definedName>
    <definedName name="_xlnm.Print_Area" localSheetId="3">'FRADE &amp; WAHOO 3P'!$A$1:$AC$76</definedName>
    <definedName name="_xlnm.Print_Area" localSheetId="1">'FRADE &amp; WAHOO TP'!$A$1:$AC$74</definedName>
    <definedName name="_xlnm.Print_Area" localSheetId="5">'Polvo &amp; TBMT 2P'!$A$1:$AE$75</definedName>
    <definedName name="_xlnm.Print_Area" localSheetId="6">'Polvo &amp; TBMT 3P'!$A$1:$AE$75</definedName>
    <definedName name="_xlnm.Print_Area" localSheetId="4">'Polvo &amp; TBMT TP'!$A$1:$AE$74</definedName>
    <definedName name="_xlnm.Print_Area">#REF!</definedName>
    <definedName name="area_min">#REF!</definedName>
    <definedName name="arg" localSheetId="9">#REF!</definedName>
    <definedName name="arg" localSheetId="3">#REF!</definedName>
    <definedName name="arg" localSheetId="1">#REF!</definedName>
    <definedName name="arg" localSheetId="6">#REF!</definedName>
    <definedName name="arg" localSheetId="4">#REF!</definedName>
    <definedName name="arg">#REF!</definedName>
    <definedName name="ARKWRIGHT_P_P_P">#REF!</definedName>
    <definedName name="asd" hidden="1">{"param,pg1",#N/A,FALSE,"Parameters";"param,pg2",#N/A,FALSE,"Parameters"}</definedName>
    <definedName name="ASOC">#REF!</definedName>
    <definedName name="atm2psi">#REF!</definedName>
    <definedName name="b">#REF!</definedName>
    <definedName name="BadakIII_Debt返済" localSheetId="9">#REF!</definedName>
    <definedName name="BadakIII_Debt返済">#REF!</definedName>
    <definedName name="BadakIV_Debt返済" localSheetId="9">#REF!</definedName>
    <definedName name="BadakIV_Debt返済">#REF!</definedName>
    <definedName name="BadakV_Debt返済" localSheetId="9">#REF!</definedName>
    <definedName name="BadakV_Debt返済">#REF!</definedName>
    <definedName name="BadakVI_Debt返済" localSheetId="9">#REF!</definedName>
    <definedName name="BadakVI_Debt返済">#REF!</definedName>
    <definedName name="BAIRD_PVD_PROB">#REF!</definedName>
    <definedName name="_xlnm.Database" localSheetId="9">#REF!</definedName>
    <definedName name="_xlnm.Database" localSheetId="3">#REF!</definedName>
    <definedName name="_xlnm.Database" localSheetId="1">#REF!</definedName>
    <definedName name="_xlnm.Database" localSheetId="6">#REF!</definedName>
    <definedName name="_xlnm.Database" localSheetId="4">#REF!</definedName>
    <definedName name="_xlnm.Database">#REF!</definedName>
    <definedName name="BaseYear">1999</definedName>
    <definedName name="BEAUFORT_P_P_P">#REF!</definedName>
    <definedName name="BELL_PROB_POSS">#REF!</definedName>
    <definedName name="BELL_PROVED">#REF!</definedName>
    <definedName name="BERYL_A_POSS">#REF!</definedName>
    <definedName name="BERYL_A_PROB">#REF!</definedName>
    <definedName name="BERYL_A_PROVED">#REF!</definedName>
    <definedName name="BERYL_B_GC_POSS">#REF!</definedName>
    <definedName name="BERYL_B_GC_PROB">#REF!</definedName>
    <definedName name="BERYL_B_GC_PROV">#REF!</definedName>
    <definedName name="BERYL_B_POSS">#REF!</definedName>
    <definedName name="BERYL_B_PROB">#REF!</definedName>
    <definedName name="BERYL_B_PROVED">#REF!</definedName>
    <definedName name="BESSEMER_P_P_P">#REF!</definedName>
    <definedName name="bg">#REF!</definedName>
    <definedName name="Bga">#REF!</definedName>
    <definedName name="Bgi">#REF!</definedName>
    <definedName name="BHT">#REF!</definedName>
    <definedName name="BHT_F">#REF!</definedName>
    <definedName name="bit">#REF!</definedName>
    <definedName name="BLK_113_28_POSS">#REF!</definedName>
    <definedName name="BLK_211_23_POSS">#REF!</definedName>
    <definedName name="BLK_9_13_P_P_P">#REF!</definedName>
    <definedName name="bo">#REF!</definedName>
    <definedName name="BOEQ" localSheetId="9">#REF!</definedName>
    <definedName name="BOEQ" localSheetId="3">#REF!</definedName>
    <definedName name="BOEQ" localSheetId="1">#REF!</definedName>
    <definedName name="BOEQ" localSheetId="6">#REF!</definedName>
    <definedName name="BOEQ" localSheetId="4">#REF!</definedName>
    <definedName name="BOEQ">#REF!</definedName>
    <definedName name="bol" localSheetId="9">#REF!</definedName>
    <definedName name="bol" localSheetId="3">#REF!</definedName>
    <definedName name="bol" localSheetId="1">#REF!</definedName>
    <definedName name="bol" localSheetId="6">#REF!</definedName>
    <definedName name="bol" localSheetId="4">#REF!</definedName>
    <definedName name="bol">#REF!</definedName>
    <definedName name="boob" hidden="1">{"param,pg1",#N/A,FALSE,"Parameters";"param,pg2",#N/A,FALSE,"Parameters"}</definedName>
    <definedName name="Botón33_AlHacerClic">#N/A</definedName>
    <definedName name="Botón34_AlHacerClic">#N/A</definedName>
    <definedName name="Botón37_AlHacerClic">#N/A</definedName>
    <definedName name="BPR">#REF!</definedName>
    <definedName name="Buscar">#N/A</definedName>
    <definedName name="Button_1">"PSumTops_from_PLog_Tops_List"</definedName>
    <definedName name="C_1">#REF!</definedName>
    <definedName name="C_2">#REF!</definedName>
    <definedName name="C_3">#REF!</definedName>
    <definedName name="C_6">#REF!</definedName>
    <definedName name="C_7plus">#REF!</definedName>
    <definedName name="c_a310">#REF!</definedName>
    <definedName name="c_g115">#REF!</definedName>
    <definedName name="c_g220">#REF!</definedName>
    <definedName name="CalcGross">#REF!</definedName>
    <definedName name="CAPEX">#REF!</definedName>
    <definedName name="capex_des">#REF!</definedName>
    <definedName name="capex_exp">#REF!</definedName>
    <definedName name="capex_sen">#REF!</definedName>
    <definedName name="capex_sens">#REF!</definedName>
    <definedName name="CAPEX0">#REF!</definedName>
    <definedName name="CAPEX12">#REF!</definedName>
    <definedName name="CAPEX15">#REF!</definedName>
    <definedName name="CAPEX8">#REF!</definedName>
    <definedName name="CAPTAIN_POSS">#REF!</definedName>
    <definedName name="CarbO2">#REF!</definedName>
    <definedName name="caso">#REF!</definedName>
    <definedName name="CASOMAX" localSheetId="9">#REF!</definedName>
    <definedName name="CASOMAX" localSheetId="3">#REF!</definedName>
    <definedName name="CASOMAX" localSheetId="1">#REF!</definedName>
    <definedName name="CASOMAX" localSheetId="6">#REF!</definedName>
    <definedName name="CASOMAX" localSheetId="4">#REF!</definedName>
    <definedName name="CASOMAX">#REF!</definedName>
    <definedName name="CASOMED" localSheetId="9">#REF!</definedName>
    <definedName name="CASOMED" localSheetId="3">#REF!</definedName>
    <definedName name="CASOMED" localSheetId="1">#REF!</definedName>
    <definedName name="CASOMED" localSheetId="6">#REF!</definedName>
    <definedName name="CASOMED" localSheetId="4">#REF!</definedName>
    <definedName name="CASOMED">#REF!</definedName>
    <definedName name="CASOMIN" localSheetId="9">#REF!</definedName>
    <definedName name="CASOMIN" localSheetId="3">#REF!</definedName>
    <definedName name="CASOMIN" localSheetId="1">#REF!</definedName>
    <definedName name="CASOMIN" localSheetId="6">#REF!</definedName>
    <definedName name="CASOMIN" localSheetId="4">#REF!</definedName>
    <definedName name="CASOMIN">#REF!</definedName>
    <definedName name="CasoPlanta">#REF!</definedName>
    <definedName name="CBarVisible">#REF!</definedName>
    <definedName name="CBWorkbookPriority" hidden="1">-67783552</definedName>
    <definedName name="cccc" hidden="1">#REF!</definedName>
    <definedName name="CDR5A" localSheetId="9">#REF!</definedName>
    <definedName name="CDR5A" localSheetId="3">#REF!</definedName>
    <definedName name="CDR5A" localSheetId="1">#REF!</definedName>
    <definedName name="CDR5A" localSheetId="6">#REF!</definedName>
    <definedName name="CDR5A" localSheetId="4">#REF!</definedName>
    <definedName name="CDR5A">#REF!</definedName>
    <definedName name="CDR8A" localSheetId="9">#REF!</definedName>
    <definedName name="CDR8A" localSheetId="3">#REF!</definedName>
    <definedName name="CDR8A" localSheetId="1">#REF!</definedName>
    <definedName name="CDR8A" localSheetId="6">#REF!</definedName>
    <definedName name="CDR8A" localSheetId="4">#REF!</definedName>
    <definedName name="CDR8A">#REF!</definedName>
    <definedName name="CE">#REF!</definedName>
    <definedName name="CEC">#REF!</definedName>
    <definedName name="Cenomanian">#REF!</definedName>
    <definedName name="CenomanianPP">#REF!</definedName>
    <definedName name="Certificacao_Custo" localSheetId="9">#REF!</definedName>
    <definedName name="Certificacao_Custo">#REF!</definedName>
    <definedName name="Certificacao_Investimento" localSheetId="9">#REF!</definedName>
    <definedName name="Certificacao_Investimento">#REF!</definedName>
    <definedName name="Chart_Array">{"CA",#N/A,#N/A,0,0,0,1,"POROSITY","fraction Vp",0.01,1,1,"FORMATION RESISTIVITY FACTOR",#N/A,1,100,#N/A,#N/A,#N/A,#N/A,#N/A,"TBL","scatter1.xls",4,5}</definedName>
    <definedName name="Chart_Range">#REF!</definedName>
    <definedName name="Chart_Regions">#REF!</definedName>
    <definedName name="Chart_Type">#REF!</definedName>
    <definedName name="CierraMemorias">#N/A</definedName>
    <definedName name="CierraMemorias1">#N/A</definedName>
    <definedName name="CierraTIR">#N/A</definedName>
    <definedName name="CIQWBGuid" hidden="1">"d4f3b880-d6b3-4d99-aa2f-f46867673dce"</definedName>
    <definedName name="CIQWBInfo" hidden="1">"{ ""CIQVersion"":""9.49.2423.4439"" }"</definedName>
    <definedName name="CLAIR_PROB_POSS">#REF!</definedName>
    <definedName name="Cód_LDA" localSheetId="9">#REF!</definedName>
    <definedName name="Cód_LDA">#REF!</definedName>
    <definedName name="CODETAB" localSheetId="9">#REF!</definedName>
    <definedName name="CODETAB" localSheetId="3">#REF!</definedName>
    <definedName name="CODETAB" localSheetId="1">#REF!</definedName>
    <definedName name="CODETAB" localSheetId="6">#REF!</definedName>
    <definedName name="CODETAB" localSheetId="4">#REF!</definedName>
    <definedName name="CODETAB">#REF!</definedName>
    <definedName name="col" localSheetId="9">#REF!</definedName>
    <definedName name="col" localSheetId="3">#REF!</definedName>
    <definedName name="col" localSheetId="1">#REF!</definedName>
    <definedName name="col" localSheetId="6">#REF!</definedName>
    <definedName name="col" localSheetId="4">#REF!</definedName>
    <definedName name="col">#REF!</definedName>
    <definedName name="Com_Exp" localSheetId="9">#REF!</definedName>
    <definedName name="Com_Exp" localSheetId="3">#REF!</definedName>
    <definedName name="Com_Exp" localSheetId="1">#REF!</definedName>
    <definedName name="Com_Exp" localSheetId="6">#REF!</definedName>
    <definedName name="Com_Exp" localSheetId="4">#REF!</definedName>
    <definedName name="Com_Exp">#REF!</definedName>
    <definedName name="Comision" localSheetId="9">#REF!</definedName>
    <definedName name="Comision" localSheetId="3">#REF!</definedName>
    <definedName name="Comision" localSheetId="1">#REF!</definedName>
    <definedName name="Comision" localSheetId="6">#REF!</definedName>
    <definedName name="Comision" localSheetId="4">#REF!</definedName>
    <definedName name="Comision">#REF!</definedName>
    <definedName name="COMMIN" localSheetId="9">#REF!</definedName>
    <definedName name="COMMIN" localSheetId="3">#REF!</definedName>
    <definedName name="COMMIN" localSheetId="1">#REF!</definedName>
    <definedName name="COMMIN" localSheetId="6">#REF!</definedName>
    <definedName name="COMMIN" localSheetId="4">#REF!</definedName>
    <definedName name="COMMIN">#REF!</definedName>
    <definedName name="COMMIN2" localSheetId="9">#REF!</definedName>
    <definedName name="COMMIN2" localSheetId="3">#REF!</definedName>
    <definedName name="COMMIN2" localSheetId="1">#REF!</definedName>
    <definedName name="COMMIN2" localSheetId="6">#REF!</definedName>
    <definedName name="COMMIN2" localSheetId="4">#REF!</definedName>
    <definedName name="COMMIN2">#REF!</definedName>
    <definedName name="Company_Range">#REF!</definedName>
    <definedName name="Company_Text_Info">#REF!</definedName>
    <definedName name="COMPARE" hidden="1">{"Table A,pg 1",#N/A,FALSE,"Table A-Prov GUR";"Table A,pg 2",#N/A,FALSE,"Table A-Prov GUR"}</definedName>
    <definedName name="Cond">#REF!</definedName>
    <definedName name="contrat_capex">#REF!</definedName>
    <definedName name="contrat_opex">#REF!</definedName>
    <definedName name="Contratista_en_capex">#REF!</definedName>
    <definedName name="Contratista_en_exploracion">#REF!</definedName>
    <definedName name="Contratista_en_opex">#REF!</definedName>
    <definedName name="Contratista_en_producción_y_opex">#REF!</definedName>
    <definedName name="costoil_contratista_extranj">#REF!</definedName>
    <definedName name="CPCMOA9899_Debt返済" localSheetId="9">#REF!</definedName>
    <definedName name="CPCMOA9899_Debt返済">#REF!</definedName>
    <definedName name="crasp" hidden="1">{"fullwell,pg1",#N/A,FALSE,"Full-Wellstream";"fullwell,pg2+",#N/A,FALSE,"Full-Wellstream"}</definedName>
    <definedName name="Criteria_Range">#REF!</definedName>
    <definedName name="_xlnm.Criteria">#REF!</definedName>
    <definedName name="CRTTR3" localSheetId="9">#REF!</definedName>
    <definedName name="CRTTR3" localSheetId="3">#REF!</definedName>
    <definedName name="CRTTR3" localSheetId="1">#REF!</definedName>
    <definedName name="CRTTR3" localSheetId="6">#REF!</definedName>
    <definedName name="CRTTR3" localSheetId="4">#REF!</definedName>
    <definedName name="CRTTR3">#REF!</definedName>
    <definedName name="cub" localSheetId="9">#REF!</definedName>
    <definedName name="cub" localSheetId="3">#REF!</definedName>
    <definedName name="cub" localSheetId="1">#REF!</definedName>
    <definedName name="cub" localSheetId="6">#REF!</definedName>
    <definedName name="cub" localSheetId="4">#REF!</definedName>
    <definedName name="cub">#REF!</definedName>
    <definedName name="d" localSheetId="9" hidden="1">{"param,for jpg,pg1",#N/A,FALSE,"Parameters";"param,for jpg,pg2",#N/A,FALSE,"Parameters"}</definedName>
    <definedName name="d" hidden="1">{"param,for jpg,pg1",#N/A,FALSE,"Parameters";"param,for jpg,pg2",#N/A,FALSE,"Parameters"}</definedName>
    <definedName name="DATA" localSheetId="3">#REF!</definedName>
    <definedName name="DATA" localSheetId="1">#REF!</definedName>
    <definedName name="DATA" localSheetId="6">#REF!</definedName>
    <definedName name="DATA" localSheetId="4">#REF!</definedName>
    <definedName name="DATA">#REF!</definedName>
    <definedName name="Data_Range">#REF!</definedName>
    <definedName name="DATA1" localSheetId="3">#REF!</definedName>
    <definedName name="DATA1" localSheetId="1">#REF!</definedName>
    <definedName name="DATA1" localSheetId="6">#REF!</definedName>
    <definedName name="DATA1" localSheetId="4">#REF!</definedName>
    <definedName name="DATA1">#REF!</definedName>
    <definedName name="DATE">#REF!</definedName>
    <definedName name="Datum">#REF!</definedName>
    <definedName name="DAUNT_P_P_P">#REF!</definedName>
    <definedName name="DAVY_POSS">#REF!</definedName>
    <definedName name="DAVY_PVD_PROB">#REF!</definedName>
    <definedName name="ddd" localSheetId="9" hidden="1">#REF!</definedName>
    <definedName name="ddd" hidden="1">#REF!</definedName>
    <definedName name="DECEMBER_31__2002">#REF!</definedName>
    <definedName name="DEFER" localSheetId="9">#REF!</definedName>
    <definedName name="DEFER">#REF!</definedName>
    <definedName name="degC2degF">#REF!</definedName>
    <definedName name="DELPROF" localSheetId="9">#REF!</definedName>
    <definedName name="DELPROF" localSheetId="3">#REF!</definedName>
    <definedName name="DELPROF" localSheetId="1">#REF!</definedName>
    <definedName name="DELPROF" localSheetId="6">#REF!</definedName>
    <definedName name="DELPROF" localSheetId="4">#REF!</definedName>
    <definedName name="DELPROF">#REF!</definedName>
    <definedName name="DEPR">#REF!</definedName>
    <definedName name="Det">#REF!</definedName>
    <definedName name="Di">#REF!</definedName>
    <definedName name="DMB">#REF!</definedName>
    <definedName name="DURWARD_P_P_P">#REF!</definedName>
    <definedName name="DYR">#REF!</definedName>
    <definedName name="DYY">#REF!</definedName>
    <definedName name="EASING_CASE_SUM">#REF!</definedName>
    <definedName name="ECP">#REF!</definedName>
    <definedName name="ECPREIN">#REF!</definedName>
    <definedName name="ee" hidden="1">{"param,for jpg,pg1",#N/A,FALSE,"Parameters";"param,for jpg,pg2",#N/A,FALSE,"Parameters"}</definedName>
    <definedName name="Elev">#REF!</definedName>
    <definedName name="EQENE" localSheetId="9">#REF!</definedName>
    <definedName name="EQENE" localSheetId="3">#REF!</definedName>
    <definedName name="EQENE" localSheetId="1">#REF!</definedName>
    <definedName name="EQENE" localSheetId="6">#REF!</definedName>
    <definedName name="EQENE" localSheetId="4">#REF!</definedName>
    <definedName name="EQENE">#REF!</definedName>
    <definedName name="ERUN" localSheetId="9">#REF!</definedName>
    <definedName name="ERUN" localSheetId="3">#REF!</definedName>
    <definedName name="ERUN" localSheetId="1">#REF!</definedName>
    <definedName name="ERUN" localSheetId="6">#REF!</definedName>
    <definedName name="ERUN" localSheetId="4">#REF!</definedName>
    <definedName name="ERUN">#REF!</definedName>
    <definedName name="Escalacion">#REF!</definedName>
    <definedName name="escalación">#REF!</definedName>
    <definedName name="Escalación_brent">#REF!</definedName>
    <definedName name="escalacion_costes">#REF!</definedName>
    <definedName name="escalación_precio">#REF!</definedName>
    <definedName name="Eua" localSheetId="9">#REF!</definedName>
    <definedName name="Eua" localSheetId="3">#REF!</definedName>
    <definedName name="Eua" localSheetId="1">#REF!</definedName>
    <definedName name="Eua" localSheetId="6">#REF!</definedName>
    <definedName name="Eua" localSheetId="4">#REF!</definedName>
    <definedName name="Eua">#REF!</definedName>
    <definedName name="EVER_40S_PVD_PB">#REF!</definedName>
    <definedName name="EVER_AND_P_P_P">#REF!</definedName>
    <definedName name="EVER_AND_PVD_PB">#REF!</definedName>
    <definedName name="EXT_DETAIL" localSheetId="9">#REF!</definedName>
    <definedName name="EXT_DETAIL">#REF!</definedName>
    <definedName name="EXT_SUMMARY" localSheetId="9">#REF!</definedName>
    <definedName name="EXT_SUMMARY">#REF!</definedName>
    <definedName name="Ext73sc_Debt返済" localSheetId="9">#REF!</definedName>
    <definedName name="Ext73sc_Debt返済">#REF!</definedName>
    <definedName name="Ext81sc_Debt返済" localSheetId="9">#REF!</definedName>
    <definedName name="Ext81sc_Debt返済">#REF!</definedName>
    <definedName name="f_gas">#REF!</definedName>
    <definedName name="f_oil">#REF!</definedName>
    <definedName name="facor_esc">#REF!</definedName>
    <definedName name="factor_esc">#REF!</definedName>
    <definedName name="factor_esprecio">#REF!</definedName>
    <definedName name="FE">#REF!</definedName>
    <definedName name="FERGUS_P_P_P">#REF!</definedName>
    <definedName name="FIFE_P_P_P">#REF!</definedName>
    <definedName name="FinAdiciona">#N/A</definedName>
    <definedName name="FIND">#REF!</definedName>
    <definedName name="FinVendedor">#N/A</definedName>
    <definedName name="FLOOD_TDELTA">#REF!</definedName>
    <definedName name="FlujoFon">#N/A</definedName>
    <definedName name="FORB_PROB_POSS">#REF!</definedName>
    <definedName name="FORM1" localSheetId="9">#REF!</definedName>
    <definedName name="FORM1" localSheetId="3">#REF!</definedName>
    <definedName name="FORM1" localSheetId="1">#REF!</definedName>
    <definedName name="FORM1" localSheetId="6">#REF!</definedName>
    <definedName name="FORM1" localSheetId="4">#REF!</definedName>
    <definedName name="FORM1">#REF!</definedName>
    <definedName name="FORM2" localSheetId="9">#REF!</definedName>
    <definedName name="FORM2" localSheetId="3">#REF!</definedName>
    <definedName name="FORM2" localSheetId="1">#REF!</definedName>
    <definedName name="FORM2" localSheetId="6">#REF!</definedName>
    <definedName name="FORM2" localSheetId="4">#REF!</definedName>
    <definedName name="FORM2">#REF!</definedName>
    <definedName name="_xlnm.Data_Form">#REF!</definedName>
    <definedName name="FSELL" localSheetId="9">#REF!</definedName>
    <definedName name="FSELL" localSheetId="3">#REF!</definedName>
    <definedName name="FSELL" localSheetId="1">#REF!</definedName>
    <definedName name="FSELL" localSheetId="6">#REF!</definedName>
    <definedName name="FSELL" localSheetId="4">#REF!</definedName>
    <definedName name="FSELL">#REF!</definedName>
    <definedName name="FULMAR_PVD_PROB">#REF!</definedName>
    <definedName name="FUNIT" localSheetId="9">#REF!</definedName>
    <definedName name="FUNIT" localSheetId="3">#REF!</definedName>
    <definedName name="FUNIT" localSheetId="1">#REF!</definedName>
    <definedName name="FUNIT" localSheetId="6">#REF!</definedName>
    <definedName name="FUNIT" localSheetId="4">#REF!</definedName>
    <definedName name="FUNIT">#REF!</definedName>
    <definedName name="GAMMA_PROB_POSS">#REF!</definedName>
    <definedName name="GASACUM" localSheetId="9">#REF!</definedName>
    <definedName name="GASACUM">#REF!</definedName>
    <definedName name="GASMES" localSheetId="9">#REF!</definedName>
    <definedName name="GASMES">#REF!</definedName>
    <definedName name="GIPi_AcFt">#REF!</definedName>
    <definedName name="GIPr_AcFt">#REF!</definedName>
    <definedName name="GrafTIR">#N/A</definedName>
    <definedName name="GrafVNP">#N/A</definedName>
    <definedName name="Gui" localSheetId="9">#REF!</definedName>
    <definedName name="Gui" localSheetId="3">#REF!</definedName>
    <definedName name="Gui" localSheetId="1">#REF!</definedName>
    <definedName name="Gui" localSheetId="6">#REF!</definedName>
    <definedName name="Gui" localSheetId="4">#REF!</definedName>
    <definedName name="Gui">#REF!</definedName>
    <definedName name="H2S">#REF!</definedName>
    <definedName name="HALLEY_POSS">#REF!</definedName>
    <definedName name="HALLEY_PROB">#REF!</definedName>
    <definedName name="HAMISH_PVD_PROB">#REF!</definedName>
    <definedName name="HANAY_PROB_POSS">#REF!</definedName>
    <definedName name="HPperMM">#REF!</definedName>
    <definedName name="HUDSON_POSS">#REF!</definedName>
    <definedName name="HUDSON_PROB">#REF!</definedName>
    <definedName name="HUDSON_PROVED">#REF!</definedName>
    <definedName name="IC_4">#REF!</definedName>
    <definedName name="IC_5">#REF!</definedName>
    <definedName name="ICAPEX">#REF!</definedName>
    <definedName name="IconStyle">#REF!</definedName>
    <definedName name="IFOPEX">#REF!</definedName>
    <definedName name="IITAX">#REF!</definedName>
    <definedName name="ImpBases">#N/A</definedName>
    <definedName name="ImpCostos">#N/A</definedName>
    <definedName name="Impegresos">#N/A</definedName>
    <definedName name="ImpGraf">#N/A</definedName>
    <definedName name="ImpSensil">#N/A</definedName>
    <definedName name="income_tax">#REF!</definedName>
    <definedName name="Incrementos" localSheetId="9">#REF!</definedName>
    <definedName name="Incrementos">#REF!</definedName>
    <definedName name="INDEF_PVD_PROB">#REF!</definedName>
    <definedName name="INDEF_SATEL_SUM">#REF!</definedName>
    <definedName name="inicio" localSheetId="9">#REF!</definedName>
    <definedName name="inicio" localSheetId="3">#REF!</definedName>
    <definedName name="inicio" localSheetId="1">#REF!</definedName>
    <definedName name="inicio" localSheetId="6">#REF!</definedName>
    <definedName name="inicio" localSheetId="4">#REF!</definedName>
    <definedName name="inicio">#REF!</definedName>
    <definedName name="INPUT" localSheetId="9">#REF!</definedName>
    <definedName name="INPUT" localSheetId="3">#REF!</definedName>
    <definedName name="INPUT" localSheetId="1">#REF!</definedName>
    <definedName name="INPUT" localSheetId="6">#REF!</definedName>
    <definedName name="INPUT" localSheetId="4">#REF!</definedName>
    <definedName name="INPUT">#REF!</definedName>
    <definedName name="Insertar">#N/A</definedName>
    <definedName name="INT_INPUT" localSheetId="9">#REF!</definedName>
    <definedName name="INT_INPUT">#REF!</definedName>
    <definedName name="INTERPOL" localSheetId="9">#REF!</definedName>
    <definedName name="INTERPOL" localSheetId="3">#REF!</definedName>
    <definedName name="INTERPOL" localSheetId="1">#REF!</definedName>
    <definedName name="INTERPOL" localSheetId="6">#REF!</definedName>
    <definedName name="INTERPOL" localSheetId="4">#REF!</definedName>
    <definedName name="INTERPOL">#REF!</definedName>
    <definedName name="invento">#REF!</definedName>
    <definedName name="invento2">#REF!</definedName>
    <definedName name="invento3">#REF!</definedName>
    <definedName name="IOAT">#REF!</definedName>
    <definedName name="IOH">#REF!</definedName>
    <definedName name="iop" localSheetId="9">#REF!</definedName>
    <definedName name="iop" localSheetId="3">#REF!</definedName>
    <definedName name="iop" localSheetId="1">#REF!</definedName>
    <definedName name="iop" localSheetId="6">#REF!</definedName>
    <definedName name="iop" localSheetId="4">#REF!</definedName>
    <definedName name="iop">#REF!</definedName>
    <definedName name="IOPEX">#REF!</definedName>
    <definedName name="IPR">#REF!</definedName>
    <definedName name="IPROD">#REF!</definedName>
    <definedName name="IPSV">#REF!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45110.6265393519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SURT">#REF!</definedName>
    <definedName name="ITRANSP">#REF!</definedName>
    <definedName name="IVANHOE_PVD_PRO">#REF!</definedName>
    <definedName name="IVOPEX">#REF!</definedName>
    <definedName name="IWTAX">#REF!</definedName>
    <definedName name="JAU_HDR">#REF!</definedName>
    <definedName name="JAU_HPV">#REF!</definedName>
    <definedName name="JAU_SDS">#REF!</definedName>
    <definedName name="jokerswild" hidden="1">#REF!</definedName>
    <definedName name="jpg" localSheetId="9" hidden="1">{"param,for jpg,pg1",#N/A,FALSE,"Parameters";"param,for jpg,pg2",#N/A,FALSE,"Parameters"}</definedName>
    <definedName name="jpg" hidden="1">{"param,for jpg,pg1",#N/A,FALSE,"Parameters";"param,for jpg,pg2",#N/A,FALSE,"Parameters"}</definedName>
    <definedName name="K">#REF!</definedName>
    <definedName name="KATRIN_PROB_POS">#REF!</definedName>
    <definedName name="Kaz" localSheetId="9">#REF!</definedName>
    <definedName name="Kaz" localSheetId="3">#REF!</definedName>
    <definedName name="Kaz" localSheetId="1">#REF!</definedName>
    <definedName name="Kaz" localSheetId="6">#REF!</definedName>
    <definedName name="Kaz" localSheetId="4">#REF!</definedName>
    <definedName name="Kaz">#REF!</definedName>
    <definedName name="Kharpress">#REF!</definedName>
    <definedName name="Khartemp">#REF!</definedName>
    <definedName name="kk" hidden="1">{"param,for jpg,pg1",#N/A,FALSE,"Parameters";"param,for jpg,pg2",#N/A,FALSE,"Parameters"}</definedName>
    <definedName name="KoreaMOA9599_Debt返済" localSheetId="9">#REF!</definedName>
    <definedName name="KoreaMOA9599_Debt返済">#REF!</definedName>
    <definedName name="LABEL" localSheetId="9">#REF!</definedName>
    <definedName name="LABEL">#REF!</definedName>
    <definedName name="Labels">#REF!</definedName>
    <definedName name="layer">#REF!</definedName>
    <definedName name="LEMAN_P_P_P">#REF!</definedName>
    <definedName name="LIBOR" localSheetId="9">#REF!</definedName>
    <definedName name="LIBOR">#REF!</definedName>
    <definedName name="limite_cost_oil">#REF!</definedName>
    <definedName name="lll" hidden="1">{"fullwell,pg1",#N/A,FALSE,"Full-Wellstream";"fullwell,pg2+",#N/A,FALSE,"Full-Wellstream"}</definedName>
    <definedName name="llo" hidden="1">{"param,pg1",#N/A,FALSE,"Parameters";"param,pg2",#N/A,FALSE,"Parameters"}</definedName>
    <definedName name="LMC" localSheetId="9">#REF!</definedName>
    <definedName name="LMC" localSheetId="3">#REF!</definedName>
    <definedName name="LMC" localSheetId="1">#REF!</definedName>
    <definedName name="LMC" localSheetId="6">#REF!</definedName>
    <definedName name="LMC" localSheetId="4">#REF!</definedName>
    <definedName name="LMC">#REF!</definedName>
    <definedName name="LNeocomian">#REF!</definedName>
    <definedName name="LNeocomianI">#REF!</definedName>
    <definedName name="LNeocomianII">#REF!</definedName>
    <definedName name="LNeocomianIII">#REF!</definedName>
    <definedName name="LNeocomianIIIPP">#REF!</definedName>
    <definedName name="LNeocomianIIPP">#REF!</definedName>
    <definedName name="LNeocomianIPP">#REF!</definedName>
    <definedName name="LNeocomianPP">#REF!</definedName>
    <definedName name="LOMOND_PROVED">#REF!</definedName>
    <definedName name="macro1">#N/A</definedName>
    <definedName name="Main_Title">#REF!</definedName>
    <definedName name="MAINMENU">#REF!</definedName>
    <definedName name="MARI_HEI_PROB">#REF!</definedName>
    <definedName name="MARI_MAU_PB_POS">#REF!</definedName>
    <definedName name="MARM_PVD_PROB">#REF!</definedName>
    <definedName name="MAXPROF" localSheetId="9">#REF!</definedName>
    <definedName name="MAXPROF" localSheetId="3">#REF!</definedName>
    <definedName name="MAXPROF" localSheetId="1">#REF!</definedName>
    <definedName name="MAXPROF" localSheetId="6">#REF!</definedName>
    <definedName name="MAXPROF" localSheetId="4">#REF!</definedName>
    <definedName name="MAXPROF">#REF!</definedName>
    <definedName name="MERCRYPROB_POSS">#REF!</definedName>
    <definedName name="MES" localSheetId="9">#REF!</definedName>
    <definedName name="MES">#REF!</definedName>
    <definedName name="meses" localSheetId="9">#REF!</definedName>
    <definedName name="meses" localSheetId="3">#REF!</definedName>
    <definedName name="meses" localSheetId="1">#REF!</definedName>
    <definedName name="meses" localSheetId="6">#REF!</definedName>
    <definedName name="meses" localSheetId="4">#REF!</definedName>
    <definedName name="meses">#REF!</definedName>
    <definedName name="MIE">#REF!</definedName>
    <definedName name="MIL" localSheetId="9">#REF!</definedName>
    <definedName name="MIL" localSheetId="3">#REF!</definedName>
    <definedName name="MIL" localSheetId="1">#REF!</definedName>
    <definedName name="MIL" localSheetId="6">#REF!</definedName>
    <definedName name="MIL" localSheetId="4">#REF!</definedName>
    <definedName name="MIL">#REF!</definedName>
    <definedName name="MinYield">#REF!</definedName>
    <definedName name="MinYieldI">#REF!</definedName>
    <definedName name="MinYieldII">#REF!</definedName>
    <definedName name="MinYieldIII">#REF!</definedName>
    <definedName name="MinYieldVII">#REF!</definedName>
    <definedName name="Módulo1.Insertar">#N/A</definedName>
    <definedName name="Módulo2.Insertar">#N/A</definedName>
    <definedName name="Molecular_Weight">#REF!</definedName>
    <definedName name="MONTROSE_P_P_P">#REF!</definedName>
    <definedName name="mos1stper">#REF!</definedName>
    <definedName name="mossubper">#REF!</definedName>
    <definedName name="MuestraCostosGeneral">#N/A</definedName>
    <definedName name="MuestraCostosParticular">#N/A</definedName>
    <definedName name="MuestraDatos">#N/A</definedName>
    <definedName name="MuestraDepreciación">#N/A</definedName>
    <definedName name="MuestraIngresos">#N/A</definedName>
    <definedName name="MuestraInversion">#N/A</definedName>
    <definedName name="n">#REF!</definedName>
    <definedName name="NC_4">#REF!</definedName>
    <definedName name="NC_5">#REF!</definedName>
    <definedName name="NEPT_PROB_POSS">#REF!</definedName>
    <definedName name="NESS_GC_PROVED">#REF!</definedName>
    <definedName name="NESS_P_P_P">#REF!</definedName>
    <definedName name="NEVIS_GC_POSS">#REF!</definedName>
    <definedName name="NEVIS_GC_PROB">#REF!</definedName>
    <definedName name="NEVIS_GC_PROVED">#REF!</definedName>
    <definedName name="NEVIS_POSS">#REF!</definedName>
    <definedName name="NEVIS_PROB">#REF!</definedName>
    <definedName name="NEVIS_PROVED">#REF!</definedName>
    <definedName name="NewMatrix">#REF!</definedName>
    <definedName name="Nig" localSheetId="9">#REF!</definedName>
    <definedName name="Nig" localSheetId="3">#REF!</definedName>
    <definedName name="Nig" localSheetId="1">#REF!</definedName>
    <definedName name="Nig" localSheetId="6">#REF!</definedName>
    <definedName name="Nig" localSheetId="4">#REF!</definedName>
    <definedName name="Nig">#REF!</definedName>
    <definedName name="Nit">#REF!</definedName>
    <definedName name="NM">#REF!</definedName>
    <definedName name="NPV0">#REF!</definedName>
    <definedName name="NPVER0">#REF!</definedName>
    <definedName name="NPVER12">#REF!</definedName>
    <definedName name="NPVER15">#REF!</definedName>
    <definedName name="NPVER8">#REF!</definedName>
    <definedName name="NTC">#REF!</definedName>
    <definedName name="O">#REF!</definedName>
    <definedName name="Ø">#REF!</definedName>
    <definedName name="OBSERV" localSheetId="9">#REF!</definedName>
    <definedName name="OBSERV">#REF!</definedName>
    <definedName name="Oculta">#N/A</definedName>
    <definedName name="opex">#REF!</definedName>
    <definedName name="opex_sen">#REF!</definedName>
    <definedName name="opex_sens">#REF!</definedName>
    <definedName name="OPEX0">#REF!</definedName>
    <definedName name="OPEX12">#REF!</definedName>
    <definedName name="OPEX15">#REF!</definedName>
    <definedName name="OPEX8">#REF!</definedName>
    <definedName name="oreenburg">#REF!</definedName>
    <definedName name="oren">#REF!</definedName>
    <definedName name="orenb">#REF!</definedName>
    <definedName name="orenburg">#REF!</definedName>
    <definedName name="ORRI">#REF!</definedName>
    <definedName name="OTH">#REF!</definedName>
    <definedName name="Pa">#REF!</definedName>
    <definedName name="page">#REF!</definedName>
    <definedName name="participacion">#REF!</definedName>
    <definedName name="Participacion_contratista">#REF!</definedName>
    <definedName name="Participacion_Repsol_contratista">#REF!</definedName>
    <definedName name="Participacion_Repsol_proyecto">#REF!</definedName>
    <definedName name="Pavg">#REF!</definedName>
    <definedName name="PAYO">#REF!</definedName>
    <definedName name="PBOTHMENU">#REF!</definedName>
    <definedName name="PD_DETAIL" localSheetId="9">#REF!</definedName>
    <definedName name="PD_DETAIL">#REF!</definedName>
    <definedName name="PD_INPUT" localSheetId="9">#REF!</definedName>
    <definedName name="PD_INPUT">#REF!</definedName>
    <definedName name="PD_SUMMARY" localSheetId="9">#REF!</definedName>
    <definedName name="PD_SUMMARY">#REF!</definedName>
    <definedName name="Pend_amortizar">#REF!</definedName>
    <definedName name="PERTH_P_P_P">#REF!</definedName>
    <definedName name="PETACUM" localSheetId="9">#REF!</definedName>
    <definedName name="PETACUM">#REF!</definedName>
    <definedName name="PETMES" localSheetId="9">#REF!</definedName>
    <definedName name="PETMES">#REF!</definedName>
    <definedName name="PgTable">#REF!</definedName>
    <definedName name="Pi">#REF!</definedName>
    <definedName name="PINPUTMENU">#REF!</definedName>
    <definedName name="PivotData">#REF!</definedName>
    <definedName name="PLANILLA_8" localSheetId="9">#REF!</definedName>
    <definedName name="PLANILLA_8">#REF!</definedName>
    <definedName name="PLANILLA_9" localSheetId="9">#REF!</definedName>
    <definedName name="PLANILLA_9">#REF!</definedName>
    <definedName name="Ploc">#REF!</definedName>
    <definedName name="poly">#REF!</definedName>
    <definedName name="poop" hidden="1">{"param,for jpg,pg1",#N/A,FALSE,"Parameters";"param,for jpg,pg2",#N/A,FALSE,"Parameters"}</definedName>
    <definedName name="POS">#REF!</definedName>
    <definedName name="POZO" localSheetId="9">#REF!</definedName>
    <definedName name="POZO">#REF!</definedName>
    <definedName name="pp" hidden="1">#REF!</definedName>
    <definedName name="PPR" localSheetId="9">#REF!</definedName>
    <definedName name="PPR" localSheetId="3">#REF!</definedName>
    <definedName name="PPR" localSheetId="1">#REF!</definedName>
    <definedName name="PPR" localSheetId="6">#REF!</definedName>
    <definedName name="PPR" localSheetId="4">#REF!</definedName>
    <definedName name="PPR">#REF!</definedName>
    <definedName name="precio">#REF!</definedName>
    <definedName name="precio_sens">#REF!</definedName>
    <definedName name="price_sen">#REF!</definedName>
    <definedName name="PRICES1" localSheetId="9">#REF!</definedName>
    <definedName name="PRICES1" localSheetId="3">#REF!</definedName>
    <definedName name="PRICES1" localSheetId="1">#REF!</definedName>
    <definedName name="PRICES1" localSheetId="6">#REF!</definedName>
    <definedName name="PRICES1" localSheetId="4">#REF!</definedName>
    <definedName name="PRICES1">#REF!</definedName>
    <definedName name="Print_Area_MI" localSheetId="9">#REF!</definedName>
    <definedName name="Print_Area_MI">#REF!</definedName>
    <definedName name="Print_Titles_MI" localSheetId="9">#REF!</definedName>
    <definedName name="Print_Titles_MI">#REF!</definedName>
    <definedName name="PRINTMENU">#REF!</definedName>
    <definedName name="PRO_NOM" localSheetId="9">#REF!</definedName>
    <definedName name="PRO_NOM" localSheetId="3">#REF!</definedName>
    <definedName name="PRO_NOM" localSheetId="1">#REF!</definedName>
    <definedName name="PRO_NOM" localSheetId="6">#REF!</definedName>
    <definedName name="PRO_NOM" localSheetId="4">#REF!</definedName>
    <definedName name="PRO_NOM">#REF!</definedName>
    <definedName name="prob_desc">#REF!</definedName>
    <definedName name="Probabilidad_hallazgo">#REF!</definedName>
    <definedName name="PROD">#REF!</definedName>
    <definedName name="Prod_Limit">#REF!</definedName>
    <definedName name="prod_sen">#REF!</definedName>
    <definedName name="PROD0">#REF!</definedName>
    <definedName name="PROD12">#REF!</definedName>
    <definedName name="PROD15">#REF!</definedName>
    <definedName name="PROD8">#REF!</definedName>
    <definedName name="produccion">#REF!</definedName>
    <definedName name="produccion_gas_anual">#REF!</definedName>
    <definedName name="profitoil_contratista_extranj">#REF!</definedName>
    <definedName name="PROFRAN" localSheetId="9">#REF!</definedName>
    <definedName name="PROFRAN" localSheetId="3">#REF!</definedName>
    <definedName name="PROFRAN" localSheetId="1">#REF!</definedName>
    <definedName name="PROFRAN" localSheetId="6">#REF!</definedName>
    <definedName name="PROFRAN" localSheetId="4">#REF!</definedName>
    <definedName name="PROFRAN">#REF!</definedName>
    <definedName name="Projectlist" localSheetId="9">#REF!</definedName>
    <definedName name="Projectlist" localSheetId="3">#REF!</definedName>
    <definedName name="Projectlist" localSheetId="1">#REF!</definedName>
    <definedName name="Projectlist" localSheetId="6">#REF!</definedName>
    <definedName name="Projectlist" localSheetId="4">#REF!</definedName>
    <definedName name="Projectlist">#REF!</definedName>
    <definedName name="PROJOPEX">#REF!</definedName>
    <definedName name="Psc">#REF!</definedName>
    <definedName name="PW">#REF!</definedName>
    <definedName name="Qf">#REF!</definedName>
    <definedName name="qi">#REF!</definedName>
    <definedName name="R_RECONCILE_MAC" localSheetId="9">#REF!</definedName>
    <definedName name="R_RECONCILE_MAC">#REF!</definedName>
    <definedName name="rangleganle" hidden="1">#REF!</definedName>
    <definedName name="ReciboDeRegistro">#N/A</definedName>
    <definedName name="Remain">#REF!</definedName>
    <definedName name="REMOIL1">#REF!</definedName>
    <definedName name="REMOIL2">#REF!</definedName>
    <definedName name="REMOIL3">#REF!</definedName>
    <definedName name="REMOIL4">#REF!</definedName>
    <definedName name="RES_CERT_FIELD" localSheetId="9">#REF!</definedName>
    <definedName name="RES_CERT_FIELD">#REF!</definedName>
    <definedName name="RES_CERT_SUM" localSheetId="9">#REF!</definedName>
    <definedName name="RES_CERT_SUM">#REF!</definedName>
    <definedName name="RES_CONS_GAS" localSheetId="9">#REF!</definedName>
    <definedName name="RES_CONS_GAS">#REF!</definedName>
    <definedName name="RES_CONS_OIL" localSheetId="9">#REF!</definedName>
    <definedName name="RES_CONS_OIL">#REF!</definedName>
    <definedName name="RES_MOVEMENT" localSheetId="9">#REF!</definedName>
    <definedName name="RES_MOVEMENT">#REF!</definedName>
    <definedName name="RES_RECONCILE" localSheetId="9">#REF!</definedName>
    <definedName name="RES_RECONCILE">#REF!</definedName>
    <definedName name="RESCASE" localSheetId="9">#REF!</definedName>
    <definedName name="RESCASE" localSheetId="3">#REF!</definedName>
    <definedName name="RESCASE" localSheetId="1">#REF!</definedName>
    <definedName name="RESCASE" localSheetId="6">#REF!</definedName>
    <definedName name="RESCASE" localSheetId="4">#REF!</definedName>
    <definedName name="RESCASE">#REF!</definedName>
    <definedName name="Resumen">#N/A</definedName>
    <definedName name="REVRAN" localSheetId="9">#REF!</definedName>
    <definedName name="REVRAN" localSheetId="3">#REF!</definedName>
    <definedName name="REVRAN" localSheetId="1">#REF!</definedName>
    <definedName name="REVRAN" localSheetId="6">#REF!</definedName>
    <definedName name="REVRAN" localSheetId="4">#REF!</definedName>
    <definedName name="REVRAN">#REF!</definedName>
    <definedName name="RI">#REF!</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2</definedName>
    <definedName name="RiskCorrelationSheet" localSheetId="9">#REF!</definedName>
    <definedName name="RiskCorrelationSheet">#REF!</definedName>
    <definedName name="RiskExcelReportsGoInNewWorkbook">TRUE</definedName>
    <definedName name="RiskExcelReportsToGenerate">32</definedName>
    <definedName name="RiskFixedSeed">7661</definedName>
    <definedName name="RiskGenerateExcelReportsAtEndOfSimulation">TRUE</definedName>
    <definedName name="RiskHasSettings">TRUE</definedName>
    <definedName name="RiskMinimizeOnStart">FALSE</definedName>
    <definedName name="RiskMonitorConvergence">TRUE</definedName>
    <definedName name="RiskMultipleCPUSupportEnabled" hidden="1">TRUE</definedName>
    <definedName name="RiskNumIterations">1000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1</definedName>
    <definedName name="RiskStatFunctionsUpdateFreq">100</definedName>
    <definedName name="RiskTemplateSheetName">"myTemplate"</definedName>
    <definedName name="RiskUpdateDisplay">FALSE</definedName>
    <definedName name="RiskUpdateStatFunctions">FALSE</definedName>
    <definedName name="RiskUseDifferentSeedForEachSim">FALSE</definedName>
    <definedName name="RiskUseFixedSeed">TRUE</definedName>
    <definedName name="RiskUseMultipleCPUs" localSheetId="9" hidden="1">TRUE</definedName>
    <definedName name="RiskUseMultipleCPUs">FALSE</definedName>
    <definedName name="RLP" localSheetId="9">#REF!</definedName>
    <definedName name="RLP">#REF!</definedName>
    <definedName name="rngReportDate">#REF!</definedName>
    <definedName name="rngReportKey1">#REF!</definedName>
    <definedName name="rngReportKey2">#REF!</definedName>
    <definedName name="rngReportKey3">#REF!</definedName>
    <definedName name="rngReportKey4">#REF!</definedName>
    <definedName name="rngReportTitle1">#REF!</definedName>
    <definedName name="rngReportTitle2">#REF!</definedName>
    <definedName name="ROBROY_PVD_PROB">#REF!</definedName>
    <definedName name="ROY">#REF!</definedName>
    <definedName name="RP">#REF!</definedName>
    <definedName name="rr" hidden="1">{"param,for jpg,pg1",#N/A,FALSE,"Parameters";"param,for jpg,pg2",#N/A,FALSE,"Parameters"}</definedName>
    <definedName name="RUN_PART_B" localSheetId="9">#REF!</definedName>
    <definedName name="RUN_PART_B">#REF!</definedName>
    <definedName name="s" hidden="1">{"param,for jpg,pg1",#N/A,FALSE,"Parameters";"param,for jpg,pg2",#N/A,FALSE,"Parameters"}</definedName>
    <definedName name="Sample_Range">#REF!</definedName>
    <definedName name="Sample_Text">#REF!</definedName>
    <definedName name="Sample_Text_Info">#REF!</definedName>
    <definedName name="SAPBEXrevision">1</definedName>
    <definedName name="SAPBEXsysID">"BWP"</definedName>
    <definedName name="SCHIEL_P_P_P">#REF!</definedName>
    <definedName name="SCOTT_POSS">#REF!</definedName>
    <definedName name="SCOTT_PROB">#REF!</definedName>
    <definedName name="SCOTT_PROVED">#REF!</definedName>
    <definedName name="sdf" hidden="1">{"fullwell,pg1",#N/A,FALSE,"Full-Wellstream";"fullwell,pg2+",#N/A,FALSE,"Full-Wellstream"}</definedName>
    <definedName name="SEC_ENERGY" localSheetId="9">#REF!</definedName>
    <definedName name="SEC_ENERGY">#REF!</definedName>
    <definedName name="Secondary_Title">#REF!</definedName>
    <definedName name="Sens_capex">#REF!</definedName>
    <definedName name="Sens_opex">#REF!</definedName>
    <definedName name="Sens_precio_crudo">#REF!</definedName>
    <definedName name="Sens_produc_crudo">#REF!</definedName>
    <definedName name="SENSPROD" localSheetId="9">#REF!</definedName>
    <definedName name="SENSPROD" localSheetId="3">#REF!</definedName>
    <definedName name="SENSPROD" localSheetId="1">#REF!</definedName>
    <definedName name="SENSPROD" localSheetId="6">#REF!</definedName>
    <definedName name="SENSPROD" localSheetId="4">#REF!</definedName>
    <definedName name="SENSPROD">#REF!</definedName>
    <definedName name="Series_No">0</definedName>
    <definedName name="SG">#REF!</definedName>
    <definedName name="SHELFSS">#REF!</definedName>
    <definedName name="shflu">#REF!</definedName>
    <definedName name="SHOW1" localSheetId="9">#REF!</definedName>
    <definedName name="SHOW1" localSheetId="3">#REF!</definedName>
    <definedName name="SHOW1" localSheetId="1">#REF!</definedName>
    <definedName name="SHOW1" localSheetId="6">#REF!</definedName>
    <definedName name="SHOW1" localSheetId="4">#REF!</definedName>
    <definedName name="SHOW1">#REF!</definedName>
    <definedName name="Shrx">#REF!</definedName>
    <definedName name="SIGMA_PROB_POSS">#REF!</definedName>
    <definedName name="SIWHPg">#REF!</definedName>
    <definedName name="SOLAN_POSS">#REF!</definedName>
    <definedName name="sort" localSheetId="9">#REF!</definedName>
    <definedName name="sort">#REF!</definedName>
    <definedName name="sort_area">#REF!</definedName>
    <definedName name="sort2" localSheetId="9">#REF!</definedName>
    <definedName name="sort2">#REF!</definedName>
    <definedName name="sort3" localSheetId="9">#REF!</definedName>
    <definedName name="sort3">#REF!</definedName>
    <definedName name="SpecGrav">#REF!</definedName>
    <definedName name="sum" hidden="1">#REF!</definedName>
    <definedName name="SUMA1" localSheetId="9">#REF!</definedName>
    <definedName name="SUMA1" localSheetId="3">#REF!</definedName>
    <definedName name="SUMA1" localSheetId="1">#REF!</definedName>
    <definedName name="SUMA1" localSheetId="6">#REF!</definedName>
    <definedName name="SUMA1" localSheetId="4">#REF!</definedName>
    <definedName name="SUMA1">#REF!</definedName>
    <definedName name="SUMBLK9_13">#REF!</definedName>
    <definedName name="sumtable">#REF!</definedName>
    <definedName name="Sw">#REF!</definedName>
    <definedName name="T1_Limit0">#REF!</definedName>
    <definedName name="T1_Limit1">#REF!</definedName>
    <definedName name="T1_Limit2">#REF!</definedName>
    <definedName name="Table1">#REF!</definedName>
    <definedName name="Table1Metric">#REF!</definedName>
    <definedName name="Table2" localSheetId="9">#REF!</definedName>
    <definedName name="Table2">#REF!</definedName>
    <definedName name="TABLE3">#REF!</definedName>
    <definedName name="Table3NOK" localSheetId="9">#REF!</definedName>
    <definedName name="Table3NOK">#REF!</definedName>
    <definedName name="TABLE4" localSheetId="9">#REF!</definedName>
    <definedName name="Table4">#REF!</definedName>
    <definedName name="Table4US" localSheetId="9">#REF!</definedName>
    <definedName name="Table4US">#REF!</definedName>
    <definedName name="Table5">#REF!</definedName>
    <definedName name="table6" localSheetId="9">#REF!</definedName>
    <definedName name="table6">#REF!</definedName>
    <definedName name="Table7" localSheetId="9">#REF!</definedName>
    <definedName name="Table7">#REF!</definedName>
    <definedName name="Table8" localSheetId="9">#REF!</definedName>
    <definedName name="Table8">#REF!</definedName>
    <definedName name="TAX">#REF!</definedName>
    <definedName name="TAXD0">#REF!</definedName>
    <definedName name="TAXD12">#REF!</definedName>
    <definedName name="TAXD15">#REF!</definedName>
    <definedName name="TAXD8">#REF!</definedName>
    <definedName name="TCA" localSheetId="9">#REF!</definedName>
    <definedName name="TCA" localSheetId="3">#REF!</definedName>
    <definedName name="TCA" localSheetId="1">#REF!</definedName>
    <definedName name="TCA" localSheetId="6">#REF!</definedName>
    <definedName name="TCA" localSheetId="4">#REF!</definedName>
    <definedName name="TCA">#REF!</definedName>
    <definedName name="TCD" localSheetId="9">#REF!</definedName>
    <definedName name="TCD">#REF!</definedName>
    <definedName name="TCT" localSheetId="9">#REF!</definedName>
    <definedName name="TCT" localSheetId="3">#REF!</definedName>
    <definedName name="TCT" localSheetId="1">#REF!</definedName>
    <definedName name="TCT" localSheetId="6">#REF!</definedName>
    <definedName name="TCT" localSheetId="4">#REF!</definedName>
    <definedName name="TCT">#REF!</definedName>
    <definedName name="TE">#REF!</definedName>
    <definedName name="TEE" localSheetId="9">#REF!</definedName>
    <definedName name="TEE">#REF!</definedName>
    <definedName name="TELFORD_GC_PVD">#REF!</definedName>
    <definedName name="TELFORD_POSS">#REF!</definedName>
    <definedName name="TELFORD_PROB">#REF!</definedName>
    <definedName name="TELFORD_PROVED">#REF!</definedName>
    <definedName name="tert" hidden="1">{"fullwell,pg1",#N/A,FALSE,"Full-Wellstream";"fullwell,pg2+",#N/A,FALSE,"Full-Wellstream"}</definedName>
    <definedName name="th">#REF!</definedName>
    <definedName name="thisismymadness" hidden="1">#REF!</definedName>
    <definedName name="TIP_Rate">#REF!</definedName>
    <definedName name="tipo_cambio">#REF!</definedName>
    <definedName name="_xlnm.Print_Titles">#N/A</definedName>
    <definedName name="Tloc_F">#REF!</definedName>
    <definedName name="TOT">#REF!</definedName>
    <definedName name="Total_RPEC_CFD">#REF!</definedName>
    <definedName name="Total_RSPEC_CFD" localSheetId="9">#REF!</definedName>
    <definedName name="Total_RSPEC_CFD">#REF!</definedName>
    <definedName name="Total_Spec_graph">#REF!</definedName>
    <definedName name="TOTCF">#REF!</definedName>
    <definedName name="TP_DETAIL" localSheetId="9">#REF!</definedName>
    <definedName name="TP_DETAIL">#REF!</definedName>
    <definedName name="TP_INPUT" localSheetId="9">#REF!</definedName>
    <definedName name="TP_INPUT">#REF!</definedName>
    <definedName name="TP_SUMMARY" localSheetId="9">#REF!</definedName>
    <definedName name="TP_SUMMARY">#REF!</definedName>
    <definedName name="TPC">#REF!</definedName>
    <definedName name="TRANSP0">#REF!</definedName>
    <definedName name="TRANSP12">#REF!</definedName>
    <definedName name="TRANSP15">#REF!</definedName>
    <definedName name="TRANSP8">#REF!</definedName>
    <definedName name="Tri" localSheetId="9">#REF!</definedName>
    <definedName name="Tri" localSheetId="3">#REF!</definedName>
    <definedName name="Tri" localSheetId="1">#REF!</definedName>
    <definedName name="Tri" localSheetId="6">#REF!</definedName>
    <definedName name="Tri" localSheetId="4">#REF!</definedName>
    <definedName name="Tri">#REF!</definedName>
    <definedName name="TRP">#REF!</definedName>
    <definedName name="Tsc_F">#REF!</definedName>
    <definedName name="TYPC">#REF!</definedName>
    <definedName name="TYPE" localSheetId="9">#REF!</definedName>
    <definedName name="TYPE" localSheetId="3">#REF!</definedName>
    <definedName name="TYPE" localSheetId="1">#REF!</definedName>
    <definedName name="TYPE" localSheetId="6">#REF!</definedName>
    <definedName name="TYPE" localSheetId="4">#REF!</definedName>
    <definedName name="TYPE">#REF!</definedName>
    <definedName name="Uk" localSheetId="9">#REF!</definedName>
    <definedName name="Uk" localSheetId="3">#REF!</definedName>
    <definedName name="Uk" localSheetId="1">#REF!</definedName>
    <definedName name="Uk" localSheetId="6">#REF!</definedName>
    <definedName name="Uk" localSheetId="4">#REF!</definedName>
    <definedName name="Uk">#REF!</definedName>
    <definedName name="ULTCen">#REF!</definedName>
    <definedName name="ULTCenPP">#REF!</definedName>
    <definedName name="ULTDryO">#REF!</definedName>
    <definedName name="ULTDryOPP">#REF!</definedName>
    <definedName name="ULTGasCond">#REF!</definedName>
    <definedName name="UltGasCondI">#REF!</definedName>
    <definedName name="UltGasCondII">#REF!</definedName>
    <definedName name="UltGasCondIII">#REF!</definedName>
    <definedName name="ULTGasCondIIIPP">#REF!</definedName>
    <definedName name="ULTGasCondIIPP">#REF!</definedName>
    <definedName name="UltGasCondIPP">#REF!</definedName>
    <definedName name="ULTGasCondPP">#REF!</definedName>
    <definedName name="UltGasCondVII">#REF!</definedName>
    <definedName name="ULTGasCondVIIPP">#REF!</definedName>
    <definedName name="UNAO">#REF!</definedName>
    <definedName name="UNAS">#REF!</definedName>
    <definedName name="UNeocomian">#REF!</definedName>
    <definedName name="UNeocomianPP">#REF!</definedName>
    <definedName name="UNITBON" localSheetId="9">#REF!</definedName>
    <definedName name="UNITBON" localSheetId="3">#REF!</definedName>
    <definedName name="UNITBON" localSheetId="1">#REF!</definedName>
    <definedName name="UNITBON" localSheetId="6">#REF!</definedName>
    <definedName name="UNITBON" localSheetId="4">#REF!</definedName>
    <definedName name="UNITBON">#REF!</definedName>
    <definedName name="uplift">#REF!</definedName>
    <definedName name="velero">#REF!</definedName>
    <definedName name="VersNo">0.22</definedName>
    <definedName name="VET" localSheetId="9">#REF!</definedName>
    <definedName name="VET">#REF!</definedName>
    <definedName name="vlm">#REF!</definedName>
    <definedName name="VOLCOM" localSheetId="9">#REF!</definedName>
    <definedName name="VOLCOM">#REF!</definedName>
    <definedName name="VOLCOMP" localSheetId="9">#REF!</definedName>
    <definedName name="VOLCOMP">#REF!</definedName>
    <definedName name="VOLMAX" localSheetId="9">#REF!</definedName>
    <definedName name="VOLMAX" localSheetId="3">#REF!</definedName>
    <definedName name="VOLMAX" localSheetId="1">#REF!</definedName>
    <definedName name="VOLMAX" localSheetId="6">#REF!</definedName>
    <definedName name="VOLMAX" localSheetId="4">#REF!</definedName>
    <definedName name="VOLMAX">#REF!</definedName>
    <definedName name="VOLMED" localSheetId="9">#REF!</definedName>
    <definedName name="VOLMED" localSheetId="3">#REF!</definedName>
    <definedName name="VOLMED" localSheetId="1">#REF!</definedName>
    <definedName name="VOLMED" localSheetId="6">#REF!</definedName>
    <definedName name="VOLMED" localSheetId="4">#REF!</definedName>
    <definedName name="VOLMED">#REF!</definedName>
    <definedName name="VOLMIN" localSheetId="9">#REF!</definedName>
    <definedName name="VOLMIN" localSheetId="3">#REF!</definedName>
    <definedName name="VOLMIN" localSheetId="1">#REF!</definedName>
    <definedName name="VOLMIN" localSheetId="6">#REF!</definedName>
    <definedName name="VOLMIN" localSheetId="4">#REF!</definedName>
    <definedName name="VOLMIN">#REF!</definedName>
    <definedName name="Volts_NomArch">#REF!</definedName>
    <definedName name="Volts_Resg">#REF!</definedName>
    <definedName name="Volts_ResgNom">#REF!</definedName>
    <definedName name="VoltsClaveDato">#REF!</definedName>
    <definedName name="VPF" localSheetId="9">#REF!</definedName>
    <definedName name="VPF">#REF!</definedName>
    <definedName name="WHIL_WOLL_POSS">#REF!</definedName>
    <definedName name="WHIT_WOLL_PROB">#REF!</definedName>
    <definedName name="WI">#REF!</definedName>
    <definedName name="WICPX" localSheetId="9">#REF!</definedName>
    <definedName name="WICPX" localSheetId="3">#REF!</definedName>
    <definedName name="WICPX" localSheetId="1">#REF!</definedName>
    <definedName name="WICPX" localSheetId="6">#REF!</definedName>
    <definedName name="WICPX" localSheetId="4">#REF!</definedName>
    <definedName name="WICPX">#REF!</definedName>
    <definedName name="WIEXECP">#REF!</definedName>
    <definedName name="WIEXOT">#REF!</definedName>
    <definedName name="WIEXP" localSheetId="9">#REF!</definedName>
    <definedName name="WIEXP" localSheetId="3">#REF!</definedName>
    <definedName name="WIEXP" localSheetId="1">#REF!</definedName>
    <definedName name="WIEXP" localSheetId="6">#REF!</definedName>
    <definedName name="WIEXP" localSheetId="4">#REF!</definedName>
    <definedName name="WIEXP">#REF!</definedName>
    <definedName name="WILDCATS">#REF!</definedName>
    <definedName name="wrn.client.param." localSheetId="9" hidden="1">{"param,for jpg,pg1",#N/A,FALSE,"Parameters";"param,for jpg,pg2",#N/A,FALSE,"Parameters"}</definedName>
    <definedName name="wrn.client.param." hidden="1">{"param,for jpg,pg1",#N/A,FALSE,"Parameters";"param,for jpg,pg2",#N/A,FALSE,"Parameters"}</definedName>
    <definedName name="wrn.fullwell." localSheetId="9" hidden="1">{"fullwell,pg1",#N/A,FALSE,"Full-Wellstream";"fullwell,pg2+",#N/A,FALSE,"Full-Wellstream"}</definedName>
    <definedName name="wrn.fullwell." hidden="1">{"fullwell,pg1",#N/A,FALSE,"Full-Wellstream";"fullwell,pg2+",#N/A,FALSE,"Full-Wellstream"}</definedName>
    <definedName name="wrn.param." localSheetId="9" hidden="1">{"param,pg1",#N/A,FALSE,"Parameters";"param,pg2",#N/A,FALSE,"Parameters"}</definedName>
    <definedName name="wrn.param." hidden="1">{"param,pg1",#N/A,FALSE,"Parameters";"param,pg2",#N/A,FALSE,"Parameters"}</definedName>
    <definedName name="wrn.Rosneft._.Resources." hidden="1">{"T1E",#N/A,FALSE,"Table 1";"T1RU",#N/A,FALSE,"Table 1";"T2E",#N/A,FALSE,"P7 Oil GVolx";"T2RU",#N/A,FALSE,"P7 Oil GVolx";"T3E",#N/A,FALSE,"P7 Oil GVolx";"T3RU",#N/A,FALSE,"P7 Oil GVolx";"T4E",#N/A,FALSE,"P7 Oil TVolx";"T4RU",#N/A,FALSE,"P7 Oil TVolx";"T5RU",#N/A,FALSE,"P7 Oil TVolx";"T5E",#N/A,FALSE,"P7 Oil TVolx";"T6E",#N/A,FALSE,"P7 Gas GVolx";"T6RU",#N/A,FALSE,"P7 Gas GVolx";"T7E",#N/A,FALSE,"P7 Gas GVolx";"T7RU",#N/A,FALSE,"P7 Gas GVolx";"T8E",#N/A,FALSE,"P7 Gas TVolx";"T8RU",#N/A,FALSE,"P7 Gas TVolx";"T9E",#N/A,FALSE,"P7 Gas TVolx";"T9RU",#N/A,FALSE,"P7 Gas TVolx";"T10E",#N/A,FALSE,"Param P7 Oil";"T10RU",#N/A,FALSE,"Param P7 Oil";"T11E",#N/A,FALSE,"Param P7 Oil";"T11RU",#N/A,FALSE,"Param P7 Oil";"T12E",#N/A,FALSE,"Param P7 Gas";"T12RU",#N/A,FALSE,"Param P7 Gas";"T13E",#N/A,FALSE,"Param P7 Gas";"T13RU",#N/A,FALSE,"Param P7 Gas";"T14E",#N/A,FALSE,"P7 ENPV";"T14RU",#N/A,FALSE,"P7 ENPV"}</definedName>
    <definedName name="wrn.Table._.A." hidden="1">{"Table A,pg 1",#N/A,FALSE,"Table A-Prov GUR";"Table A,pg 2",#N/A,FALSE,"Table A-Prov GUR"}</definedName>
    <definedName name="wrn.Table._.A1." hidden="1">{"Table A1,pg 1",#N/A,FALSE,"Table A1-Net Prov Res";"Table A1,pg 2",#N/A,FALSE,"Table A1-Net Prov Res"}</definedName>
    <definedName name="wrn.tables." localSheetId="9" hidden="1">{"cprgas",#N/A,FALSE,"CPR_E";"cprwat",#N/A,FALSE,"CPR_E";"oilcpr",#N/A,FALSE,"CPR_E";"norwat",#N/A,FALSE,"CPR_E";"norgas",#N/A,FALSE,"CPR_E";"noroil",#N/A,FALSE,"CPR_E";"surwat",#N/A,FALSE,"CPR_E";"surgas",#N/A,FALSE,"CPR_E";"suroil",#N/A,FALSE,"CPR_E";"puriwat",#N/A,FALSE,"CPR_E";"purigas",#N/A,FALSE,"CPR_E";"purioil",#N/A,FALSE,"CPR_E"}</definedName>
    <definedName name="wrn.tables." hidden="1">{"cprgas",#N/A,FALSE,"CPR_E";"cprwat",#N/A,FALSE,"CPR_E";"oilcpr",#N/A,FALSE,"CPR_E";"norwat",#N/A,FALSE,"CPR_E";"norgas",#N/A,FALSE,"CPR_E";"noroil",#N/A,FALSE,"CPR_E";"surwat",#N/A,FALSE,"CPR_E";"surgas",#N/A,FALSE,"CPR_E";"suroil",#N/A,FALSE,"CPR_E";"puriwat",#N/A,FALSE,"CPR_E";"purigas",#N/A,FALSE,"CPR_E";"purioil",#N/A,FALSE,"CPR_E"}</definedName>
    <definedName name="wrn.TDS._.QRA._.Report._.Tables." hidden="1">{"TDS QRA RT P4 Oil Gvlox",#N/A,FALSE,"P4 Oil GVolx";"TDS QRA RT P4 Oil TVolx",#N/A,FALSE,"P4 Oil TVolx";"TDS QRA RT P4 Gas GVolx",#N/A,FALSE,"P4 Gas GVolx";"TDS QRA RT P4 Gas TVolx",#N/A,FALSE,"P4 Gas TVolx";"TDS QRA RT P4 ENPV",#N/A,FALSE,"P4 ENPV";"TDS QRA RT P4 ENPV Country",#N/A,FALSE,"P4 ENPV Country";"TDS QRA RT P7 Oil GVolx",#N/A,FALSE,"P7 Oil GVolx";"TDS QRA RT P7 Oil TVolx",#N/A,FALSE,"P7 Oil TVolx";"TDS QRA RT P7 Gas GVolx",#N/A,FALSE,"P7 Gas GVolx";"TDS QRA RT P7 Gas TVolx",#N/A,FALSE,"P7 Gas TVolx";"TDS QRA RT P7 ENPV",#N/A,FALSE,"P7 ENPV";"TDS QRA RT P7 ENPV Country",#N/A,FALSE,"P7 ENPV Country"}</definedName>
    <definedName name="WW">#REF!</definedName>
    <definedName name="X_Axis_Label">#REF!</definedName>
    <definedName name="X_Axis_Text">#REF!</definedName>
    <definedName name="X_Axis_Units">#REF!</definedName>
    <definedName name="X_Max">#REF!</definedName>
    <definedName name="X_Min">#REF!</definedName>
    <definedName name="XCAPEX0">#REF!</definedName>
    <definedName name="XCAPEX12">#REF!</definedName>
    <definedName name="XCAPEX15">#REF!</definedName>
    <definedName name="XCAPEX8">#REF!</definedName>
    <definedName name="xcv">#REF!</definedName>
    <definedName name="xxx">#REF!</definedName>
    <definedName name="xxxxxxxxxxxxxxxxx">#REF!</definedName>
    <definedName name="Y_Axis_Label">#REF!</definedName>
    <definedName name="Y_Axis_Text">#REF!</definedName>
    <definedName name="Y_Axis_Units">#REF!</definedName>
    <definedName name="Y_Max">#REF!</definedName>
    <definedName name="Y_Min">#REF!</definedName>
    <definedName name="yeti">#REF!</definedName>
    <definedName name="YORK_POSS">#REF!</definedName>
    <definedName name="YORK_PROB">#REF!</definedName>
    <definedName name="Z_18616DDA_02F9_4711_B70F_5FE11F723B6E_.wvu.PrintArea" hidden="1">#REF!</definedName>
    <definedName name="Z_18616DDA_02F9_4711_B70F_5FE11F723B6E_.wvu.PrintTitles" hidden="1">#REF!</definedName>
    <definedName name="Z_196FE57E_65AF_4CF2_8F02_6F8C511379F3_.wvu.PrintArea" hidden="1">#REF!</definedName>
    <definedName name="Z_241D20C7_F8EE_4556_92CD_D1D595E8B945_.wvu.PrintArea" hidden="1">#REF!</definedName>
    <definedName name="Z_24AEEE77_F072_443D_AAD5_90E6DEF23365_.wvu.PrintArea" hidden="1">#REF!</definedName>
    <definedName name="Z_24AEEE77_F072_443D_AAD5_90E6DEF23365_.wvu.PrintTitles" hidden="1">#REF!</definedName>
    <definedName name="Z_2C43CB40_CA70_4894_A813_29D908EA57BC_.wvu.PrintArea" hidden="1">#REF!</definedName>
    <definedName name="Z_30B1AF55_5F74_484E_8987_15E9ADEEA47C_.wvu.PrintArea" hidden="1">#REF!</definedName>
    <definedName name="Z_37EECC46_818E_4F77_A880_35B475D0FD11_.wvu.PrintArea" hidden="1">#REF!</definedName>
    <definedName name="Z_3E03E585_FD8A_4B81_BD34_8DDFA683269E_.wvu.PrintArea" hidden="1">#REF!</definedName>
    <definedName name="Z_624701E8_C9A7_4916_A96D_C74AEEB3F3B9_.wvu.PrintArea" hidden="1">#REF!</definedName>
    <definedName name="Z_70CF2ED6_F9DD_4CA0_BD76_A63D4576ECD9_.wvu.PrintArea" hidden="1">#REF!</definedName>
    <definedName name="Z_70CF2ED6_F9DD_4CA0_BD76_A63D4576ECD9_.wvu.PrintTitles" hidden="1">#REF!</definedName>
    <definedName name="Z_8CD942D0_846B_4502_A646_F5B6FB169A9B_.wvu.PrintArea" hidden="1">#REF!</definedName>
    <definedName name="Z_C7800429_1B5F_473E_A391_4C10493F46F4_.wvu.PrintArea" hidden="1">#REF!</definedName>
    <definedName name="Z_F88DEA74_4FFA_49D6_B76F_A64C689E1BF1_.wvu.PrintArea" hidden="1">#REF!</definedName>
    <definedName name="Z_F88DEA74_4FFA_49D6_B76F_A64C689E1BF1_.wvu.PrintTitles" hidden="1">#REF!</definedName>
    <definedName name="Za">#REF!</definedName>
    <definedName name="Zavg">#REF!</definedName>
    <definedName name="ZC100R1" localSheetId="9">#REF!</definedName>
    <definedName name="ZC100R1">#REF!</definedName>
    <definedName name="ZC101R1" localSheetId="9">#REF!</definedName>
    <definedName name="ZC101R1">#REF!</definedName>
    <definedName name="zfacti" localSheetId="9">#REF!</definedName>
    <definedName name="zfacti">#REF!</definedName>
    <definedName name="Zi">#REF!</definedName>
    <definedName name="zinert">#REF!</definedName>
    <definedName name="zone1_param">#REF!</definedName>
    <definedName name="zone1_rspec_graph" localSheetId="9">#REF!</definedName>
    <definedName name="zone1_rspec_graph">#REF!</definedName>
    <definedName name="Zone1_spec_graph">#REF!</definedName>
    <definedName name="zone10_param">#REF!</definedName>
    <definedName name="zone10_spec_graph">#REF!</definedName>
    <definedName name="zone11_param">#REF!</definedName>
    <definedName name="zone11_spec_graph">#REF!</definedName>
    <definedName name="zone12_param">#REF!</definedName>
    <definedName name="zone12_spec_graph">#REF!</definedName>
    <definedName name="zone13_param">#REF!</definedName>
    <definedName name="zone13_spec_graph">#REF!</definedName>
    <definedName name="zone14_param">#REF!</definedName>
    <definedName name="zone14_spec_graph">#REF!</definedName>
    <definedName name="zone15_param">#REF!</definedName>
    <definedName name="zone15_spec_graph">#REF!</definedName>
    <definedName name="zone16_param">#REF!</definedName>
    <definedName name="zone16_spec_graph">#REF!</definedName>
    <definedName name="zone17_param">#REF!</definedName>
    <definedName name="zone17_spec_graph">#REF!</definedName>
    <definedName name="zone18_param">#REF!</definedName>
    <definedName name="zone18_spec_graph">#REF!</definedName>
    <definedName name="zone19_param">#REF!</definedName>
    <definedName name="zone19_spec_graph">#REF!</definedName>
    <definedName name="zone2_param">#REF!</definedName>
    <definedName name="zone2_rpsec_graph" localSheetId="9">#REF!</definedName>
    <definedName name="zone2_rpsec_graph">#REF!</definedName>
    <definedName name="zone2_rspec_graph">#REF!</definedName>
    <definedName name="Zone2_Spec_graph">#REF!</definedName>
    <definedName name="zone20_param">#REF!</definedName>
    <definedName name="zone20_spec_graph">#REF!</definedName>
    <definedName name="zone3_param">#REF!</definedName>
    <definedName name="zone3_rspec_graph" localSheetId="9">#REF!</definedName>
    <definedName name="zone3_rspec_graph">#REF!</definedName>
    <definedName name="Zone3_Spec_graph">#REF!</definedName>
    <definedName name="zone4_param">#REF!</definedName>
    <definedName name="zone4_rspec_graph" localSheetId="9">#REF!</definedName>
    <definedName name="zone4_rspec_graph">#REF!</definedName>
    <definedName name="Zone4_Spec_graph">#REF!</definedName>
    <definedName name="zone5_param">#REF!</definedName>
    <definedName name="zone5_rspec_graph" localSheetId="9">#REF!</definedName>
    <definedName name="zone5_rspec_graph">#REF!</definedName>
    <definedName name="Zone5_Spec_graph">#REF!</definedName>
    <definedName name="zone6_param">#REF!</definedName>
    <definedName name="zone6_rspec_graph" localSheetId="9">#REF!</definedName>
    <definedName name="zone6_rspec_graph">#REF!</definedName>
    <definedName name="Zone6_Spec_graph">#REF!</definedName>
    <definedName name="zone7_param">#REF!</definedName>
    <definedName name="zone7_spec_graph">#REF!</definedName>
    <definedName name="zone8_param">#REF!</definedName>
    <definedName name="zone8_spec_graph">#REF!</definedName>
    <definedName name="zone9_param">#REF!</definedName>
    <definedName name="zone9_spec_graph">#REF!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8" i="40" l="1"/>
  <c r="AB43" i="36"/>
  <c r="AT117" i="54"/>
  <c r="AS117" i="54"/>
  <c r="H226" i="54"/>
  <c r="H228" i="54"/>
  <c r="H212" i="54"/>
  <c r="B197" i="54"/>
  <c r="B198" i="54" s="1"/>
  <c r="B162" i="54"/>
  <c r="C162" i="54"/>
  <c r="D162" i="54"/>
  <c r="E162" i="54"/>
  <c r="F162" i="54"/>
  <c r="B160" i="54"/>
  <c r="C160" i="54"/>
  <c r="D160" i="54"/>
  <c r="E160" i="54"/>
  <c r="B11" i="12"/>
  <c r="H82" i="54"/>
  <c r="G38" i="54" l="1"/>
  <c r="AG15" i="8"/>
  <c r="AE73" i="39"/>
  <c r="AC73" i="39"/>
  <c r="AB73" i="39"/>
  <c r="Z73" i="39"/>
  <c r="Z74" i="39" s="1"/>
  <c r="Y73" i="39"/>
  <c r="X73" i="39"/>
  <c r="Y74" i="39" s="1"/>
  <c r="W73" i="39"/>
  <c r="U73" i="39"/>
  <c r="T73" i="39"/>
  <c r="S73" i="39"/>
  <c r="R73" i="39"/>
  <c r="S74" i="39" s="1"/>
  <c r="P73" i="39"/>
  <c r="O73" i="39"/>
  <c r="N73" i="39"/>
  <c r="O74" i="39" s="1"/>
  <c r="M73" i="39"/>
  <c r="K73" i="39"/>
  <c r="J73" i="39"/>
  <c r="J74" i="39" s="1"/>
  <c r="I73" i="39"/>
  <c r="H73" i="39"/>
  <c r="F73" i="39"/>
  <c r="E73" i="39"/>
  <c r="D73" i="39"/>
  <c r="E74" i="39" s="1"/>
  <c r="C73" i="39"/>
  <c r="C67" i="15"/>
  <c r="AG50" i="40"/>
  <c r="B3" i="8"/>
  <c r="F74" i="39" l="1"/>
  <c r="P74" i="39"/>
  <c r="N74" i="39"/>
  <c r="T74" i="39"/>
  <c r="X74" i="39"/>
  <c r="K74" i="39"/>
  <c r="I74" i="39"/>
  <c r="AC74" i="39"/>
  <c r="U74" i="39"/>
  <c r="D74" i="39"/>
  <c r="AF56" i="39" l="1"/>
  <c r="AG56" i="39" s="1"/>
  <c r="AF63" i="39"/>
  <c r="AF62" i="39"/>
  <c r="AF61" i="39"/>
  <c r="AF60" i="39"/>
  <c r="AF59" i="39"/>
  <c r="AF58" i="39"/>
  <c r="AF55" i="39"/>
  <c r="AG55" i="39" s="1"/>
  <c r="AH55" i="39" s="1"/>
  <c r="AI55" i="39" s="1"/>
  <c r="AJ55" i="39" s="1"/>
  <c r="AK55" i="39" s="1"/>
  <c r="AL55" i="39" s="1"/>
  <c r="AM55" i="39" s="1"/>
  <c r="AN55" i="39" s="1"/>
  <c r="AO55" i="39" s="1"/>
  <c r="AP55" i="39" s="1"/>
  <c r="AQ55" i="39" s="1"/>
  <c r="AR55" i="39" s="1"/>
  <c r="AS55" i="39" s="1"/>
  <c r="AT55" i="39" s="1"/>
  <c r="AU55" i="39" s="1"/>
  <c r="AV55" i="39" s="1"/>
  <c r="AW55" i="39" s="1"/>
  <c r="AX55" i="39" s="1"/>
  <c r="AY55" i="39" s="1"/>
  <c r="AZ55" i="39" s="1"/>
  <c r="BA55" i="39" s="1"/>
  <c r="BB55" i="39" s="1"/>
  <c r="BC55" i="39" s="1"/>
  <c r="BD55" i="39" s="1"/>
  <c r="BE55" i="39" s="1"/>
  <c r="BF55" i="39" s="1"/>
  <c r="BG55" i="39" s="1"/>
  <c r="BH55" i="39" s="1"/>
  <c r="BI55" i="39" s="1"/>
  <c r="BJ55" i="39" s="1"/>
  <c r="BK55" i="39" s="1"/>
  <c r="BL55" i="39" s="1"/>
  <c r="BM55" i="39" s="1"/>
  <c r="BN55" i="39" s="1"/>
  <c r="BO55" i="39" s="1"/>
  <c r="BP55" i="39" s="1"/>
  <c r="BQ55" i="39" s="1"/>
  <c r="BR55" i="39" s="1"/>
  <c r="BS55" i="39" s="1"/>
  <c r="BT55" i="39" s="1"/>
  <c r="BU55" i="39" s="1"/>
  <c r="BV55" i="39" s="1"/>
  <c r="BW55" i="39" s="1"/>
  <c r="AF54" i="39"/>
  <c r="AG54" i="39" s="1"/>
  <c r="AF53" i="39"/>
  <c r="AF52" i="39"/>
  <c r="AF50" i="39"/>
  <c r="AG50" i="39" s="1"/>
  <c r="AH50" i="39" s="1"/>
  <c r="AI50" i="39" s="1"/>
  <c r="AJ50" i="39" s="1"/>
  <c r="AK50" i="39" s="1"/>
  <c r="AL50" i="39" s="1"/>
  <c r="AM50" i="39" s="1"/>
  <c r="AN50" i="39" s="1"/>
  <c r="AO50" i="39" s="1"/>
  <c r="AP50" i="39" s="1"/>
  <c r="AQ50" i="39" s="1"/>
  <c r="AR50" i="39" s="1"/>
  <c r="AS50" i="39" s="1"/>
  <c r="AT50" i="39" s="1"/>
  <c r="AU50" i="39" s="1"/>
  <c r="AV50" i="39" s="1"/>
  <c r="AW50" i="39" s="1"/>
  <c r="AX50" i="39" s="1"/>
  <c r="AY50" i="39" s="1"/>
  <c r="AZ50" i="39" s="1"/>
  <c r="BA50" i="39" s="1"/>
  <c r="BB50" i="39" s="1"/>
  <c r="BC50" i="39" s="1"/>
  <c r="BD50" i="39" s="1"/>
  <c r="BE50" i="39" s="1"/>
  <c r="BF50" i="39" s="1"/>
  <c r="BG50" i="39" s="1"/>
  <c r="BH50" i="39" s="1"/>
  <c r="BI50" i="39" s="1"/>
  <c r="BJ50" i="39" s="1"/>
  <c r="BK50" i="39" s="1"/>
  <c r="BL50" i="39" s="1"/>
  <c r="BM50" i="39" s="1"/>
  <c r="BN50" i="39" s="1"/>
  <c r="BO50" i="39" s="1"/>
  <c r="BP50" i="39" s="1"/>
  <c r="BQ50" i="39" s="1"/>
  <c r="BR50" i="39" s="1"/>
  <c r="BS50" i="39" s="1"/>
  <c r="BT50" i="39" s="1"/>
  <c r="BU50" i="39" s="1"/>
  <c r="BV50" i="39" s="1"/>
  <c r="BW50" i="39" s="1"/>
  <c r="AF49" i="39"/>
  <c r="AG49" i="39" s="1"/>
  <c r="AF48" i="39"/>
  <c r="AF47" i="39"/>
  <c r="AF46" i="39"/>
  <c r="AF44" i="39"/>
  <c r="AF43" i="39"/>
  <c r="AF32" i="39"/>
  <c r="AF56" i="37" s="1"/>
  <c r="AF31" i="39"/>
  <c r="AF16" i="37" s="1"/>
  <c r="AF30" i="39"/>
  <c r="AG30" i="39" s="1"/>
  <c r="AH30" i="39" s="1"/>
  <c r="AI30" i="39" s="1"/>
  <c r="AJ30" i="39" s="1"/>
  <c r="AK30" i="39" s="1"/>
  <c r="AL30" i="39" s="1"/>
  <c r="AM30" i="39" s="1"/>
  <c r="AN30" i="39" s="1"/>
  <c r="AO30" i="39" s="1"/>
  <c r="AP30" i="39" s="1"/>
  <c r="AQ30" i="39" s="1"/>
  <c r="AR30" i="39" s="1"/>
  <c r="AS30" i="39" s="1"/>
  <c r="AT30" i="39" s="1"/>
  <c r="AU30" i="39" s="1"/>
  <c r="AV30" i="39" s="1"/>
  <c r="AW30" i="39" s="1"/>
  <c r="AX30" i="39" s="1"/>
  <c r="AY30" i="39" s="1"/>
  <c r="AZ30" i="39" s="1"/>
  <c r="BA30" i="39" s="1"/>
  <c r="BB30" i="39" s="1"/>
  <c r="BC30" i="39" s="1"/>
  <c r="BD30" i="39" s="1"/>
  <c r="BE30" i="39" s="1"/>
  <c r="BF30" i="39" s="1"/>
  <c r="BG30" i="39" s="1"/>
  <c r="BH30" i="39" s="1"/>
  <c r="BI30" i="39" s="1"/>
  <c r="BJ30" i="39" s="1"/>
  <c r="BK30" i="39" s="1"/>
  <c r="BL30" i="39" s="1"/>
  <c r="BM30" i="39" s="1"/>
  <c r="BN30" i="39" s="1"/>
  <c r="BO30" i="39" s="1"/>
  <c r="BP30" i="39" s="1"/>
  <c r="BQ30" i="39" s="1"/>
  <c r="BR30" i="39" s="1"/>
  <c r="BS30" i="39" s="1"/>
  <c r="BT30" i="39" s="1"/>
  <c r="BU30" i="39" s="1"/>
  <c r="BV30" i="39" s="1"/>
  <c r="BW30" i="39" s="1"/>
  <c r="AF29" i="39"/>
  <c r="AF27" i="39"/>
  <c r="AF26" i="39"/>
  <c r="AG26" i="39" s="1"/>
  <c r="AH26" i="39" s="1"/>
  <c r="AI26" i="39" s="1"/>
  <c r="AJ26" i="39" s="1"/>
  <c r="AK26" i="39" s="1"/>
  <c r="AL26" i="39" s="1"/>
  <c r="AM26" i="39" s="1"/>
  <c r="AN26" i="39" s="1"/>
  <c r="AO26" i="39" s="1"/>
  <c r="AP26" i="39" s="1"/>
  <c r="AQ26" i="39" s="1"/>
  <c r="AR26" i="39" s="1"/>
  <c r="AS26" i="39" s="1"/>
  <c r="AT26" i="39" s="1"/>
  <c r="AU26" i="39" s="1"/>
  <c r="AV26" i="39" s="1"/>
  <c r="AW26" i="39" s="1"/>
  <c r="AX26" i="39" s="1"/>
  <c r="AY26" i="39" s="1"/>
  <c r="AZ26" i="39" s="1"/>
  <c r="BA26" i="39" s="1"/>
  <c r="BB26" i="39" s="1"/>
  <c r="BC26" i="39" s="1"/>
  <c r="BD26" i="39" s="1"/>
  <c r="BE26" i="39" s="1"/>
  <c r="BF26" i="39" s="1"/>
  <c r="BG26" i="39" s="1"/>
  <c r="BH26" i="39" s="1"/>
  <c r="BI26" i="39" s="1"/>
  <c r="BJ26" i="39" s="1"/>
  <c r="BK26" i="39" s="1"/>
  <c r="BL26" i="39" s="1"/>
  <c r="BM26" i="39" s="1"/>
  <c r="BN26" i="39" s="1"/>
  <c r="BO26" i="39" s="1"/>
  <c r="BP26" i="39" s="1"/>
  <c r="BQ26" i="39" s="1"/>
  <c r="BR26" i="39" s="1"/>
  <c r="BS26" i="39" s="1"/>
  <c r="BT26" i="39" s="1"/>
  <c r="BU26" i="39" s="1"/>
  <c r="BV26" i="39" s="1"/>
  <c r="BW26" i="39" s="1"/>
  <c r="AF25" i="39"/>
  <c r="AF23" i="39"/>
  <c r="AF21" i="39"/>
  <c r="AF17" i="39"/>
  <c r="AF42" i="40"/>
  <c r="AF58" i="37"/>
  <c r="AF54" i="37"/>
  <c r="AG54" i="37" s="1"/>
  <c r="AH54" i="37" s="1"/>
  <c r="AI54" i="37" s="1"/>
  <c r="AJ54" i="37" s="1"/>
  <c r="AK54" i="37" s="1"/>
  <c r="AL54" i="37" s="1"/>
  <c r="AM54" i="37" s="1"/>
  <c r="AN54" i="37" s="1"/>
  <c r="AO54" i="37" s="1"/>
  <c r="AP54" i="37" s="1"/>
  <c r="AQ54" i="37" s="1"/>
  <c r="AR54" i="37" s="1"/>
  <c r="AS54" i="37" s="1"/>
  <c r="AT54" i="37" s="1"/>
  <c r="AU54" i="37" s="1"/>
  <c r="AV54" i="37" s="1"/>
  <c r="AW54" i="37" s="1"/>
  <c r="AX54" i="37" s="1"/>
  <c r="AY54" i="37" s="1"/>
  <c r="AZ54" i="37" s="1"/>
  <c r="BA54" i="37" s="1"/>
  <c r="BB54" i="37" s="1"/>
  <c r="BC54" i="37" s="1"/>
  <c r="BD54" i="37" s="1"/>
  <c r="BE54" i="37" s="1"/>
  <c r="BF54" i="37" s="1"/>
  <c r="BG54" i="37" s="1"/>
  <c r="BH54" i="37" s="1"/>
  <c r="BI54" i="37" s="1"/>
  <c r="BJ54" i="37" s="1"/>
  <c r="BK54" i="37" s="1"/>
  <c r="BL54" i="37" s="1"/>
  <c r="BM54" i="37" s="1"/>
  <c r="BN54" i="37" s="1"/>
  <c r="BO54" i="37" s="1"/>
  <c r="BP54" i="37" s="1"/>
  <c r="BQ54" i="37" s="1"/>
  <c r="BR54" i="37" s="1"/>
  <c r="BS54" i="37" s="1"/>
  <c r="BT54" i="37" s="1"/>
  <c r="BU54" i="37" s="1"/>
  <c r="BV54" i="37" s="1"/>
  <c r="BW54" i="37" s="1"/>
  <c r="AF66" i="37"/>
  <c r="AF57" i="37" s="1"/>
  <c r="AF14" i="37"/>
  <c r="AG14" i="37" s="1"/>
  <c r="AH14" i="37" s="1"/>
  <c r="AI14" i="37" s="1"/>
  <c r="AJ14" i="37" s="1"/>
  <c r="AK14" i="37" s="1"/>
  <c r="AL14" i="37" s="1"/>
  <c r="AM14" i="37" s="1"/>
  <c r="AN14" i="37" s="1"/>
  <c r="AO14" i="37" s="1"/>
  <c r="AP14" i="37" s="1"/>
  <c r="AQ14" i="37" s="1"/>
  <c r="AR14" i="37" s="1"/>
  <c r="AS14" i="37" s="1"/>
  <c r="AT14" i="37" s="1"/>
  <c r="AU14" i="37" s="1"/>
  <c r="AV14" i="37" s="1"/>
  <c r="AW14" i="37" s="1"/>
  <c r="AX14" i="37" s="1"/>
  <c r="AY14" i="37" s="1"/>
  <c r="AZ14" i="37" s="1"/>
  <c r="BA14" i="37" s="1"/>
  <c r="BB14" i="37" s="1"/>
  <c r="BC14" i="37" s="1"/>
  <c r="BD14" i="37" s="1"/>
  <c r="BE14" i="37" s="1"/>
  <c r="BF14" i="37" s="1"/>
  <c r="BG14" i="37" s="1"/>
  <c r="BH14" i="37" s="1"/>
  <c r="BI14" i="37" s="1"/>
  <c r="BJ14" i="37" s="1"/>
  <c r="BK14" i="37" s="1"/>
  <c r="BL14" i="37" s="1"/>
  <c r="BM14" i="37" s="1"/>
  <c r="BN14" i="37" s="1"/>
  <c r="BO14" i="37" s="1"/>
  <c r="BP14" i="37" s="1"/>
  <c r="BQ14" i="37" s="1"/>
  <c r="BR14" i="37" s="1"/>
  <c r="BS14" i="37" s="1"/>
  <c r="BT14" i="37" s="1"/>
  <c r="BU14" i="37" s="1"/>
  <c r="BV14" i="37" s="1"/>
  <c r="BW14" i="37" s="1"/>
  <c r="AF17" i="37"/>
  <c r="AF27" i="37"/>
  <c r="H225" i="54"/>
  <c r="F163" i="54"/>
  <c r="G163" i="54" s="1"/>
  <c r="E163" i="54"/>
  <c r="D163" i="54"/>
  <c r="C163" i="54"/>
  <c r="B163" i="54"/>
  <c r="F161" i="54"/>
  <c r="G161" i="54" s="1"/>
  <c r="E161" i="54"/>
  <c r="D161" i="54"/>
  <c r="C161" i="54"/>
  <c r="B161" i="54"/>
  <c r="F160" i="54"/>
  <c r="G159" i="54"/>
  <c r="D122" i="54"/>
  <c r="AS110" i="54"/>
  <c r="H86" i="54"/>
  <c r="H84" i="54"/>
  <c r="F38" i="54"/>
  <c r="E38" i="54"/>
  <c r="D38" i="54"/>
  <c r="C38" i="54"/>
  <c r="B38" i="54"/>
  <c r="AF53" i="53"/>
  <c r="AE53" i="53"/>
  <c r="AD53" i="53"/>
  <c r="AC53" i="53"/>
  <c r="AB53" i="53"/>
  <c r="AA53" i="53"/>
  <c r="Z53" i="53"/>
  <c r="Y53" i="53"/>
  <c r="X53" i="53"/>
  <c r="W53" i="53"/>
  <c r="V53" i="53"/>
  <c r="AE52" i="53"/>
  <c r="Z52" i="53"/>
  <c r="AE51" i="53"/>
  <c r="AC51" i="53"/>
  <c r="Z51" i="53"/>
  <c r="Y51" i="53"/>
  <c r="X51" i="53"/>
  <c r="AE50" i="53"/>
  <c r="Z50" i="53"/>
  <c r="AE49" i="53"/>
  <c r="Z49" i="53"/>
  <c r="AF48" i="53"/>
  <c r="AE48" i="53"/>
  <c r="AD48" i="53"/>
  <c r="AC48" i="53"/>
  <c r="AB48" i="53"/>
  <c r="AA48" i="53"/>
  <c r="Z48" i="53"/>
  <c r="Y48" i="53"/>
  <c r="X48" i="53"/>
  <c r="W48" i="53"/>
  <c r="V48" i="53"/>
  <c r="AE47" i="53"/>
  <c r="Z47" i="53"/>
  <c r="AE46" i="53"/>
  <c r="AD46" i="53"/>
  <c r="AC46" i="53"/>
  <c r="AB46" i="53"/>
  <c r="AA46" i="53"/>
  <c r="Z46" i="53"/>
  <c r="Y46" i="53"/>
  <c r="X46" i="53"/>
  <c r="W46" i="53"/>
  <c r="AE45" i="53"/>
  <c r="Z45" i="53"/>
  <c r="AF44" i="53"/>
  <c r="AE44" i="53"/>
  <c r="AD44" i="53"/>
  <c r="AC44" i="53"/>
  <c r="AB44" i="53"/>
  <c r="AA44" i="53"/>
  <c r="Z44" i="53"/>
  <c r="Y44" i="53"/>
  <c r="X44" i="53"/>
  <c r="W44" i="53"/>
  <c r="V44" i="53"/>
  <c r="AE43" i="53"/>
  <c r="Z43" i="53"/>
  <c r="AE42" i="53"/>
  <c r="Z42"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F23" i="53"/>
  <c r="AA23" i="53"/>
  <c r="V23" i="53"/>
  <c r="Q23" i="53"/>
  <c r="L23" i="53"/>
  <c r="G23" i="53"/>
  <c r="AF22" i="53"/>
  <c r="AA22" i="53"/>
  <c r="V22" i="53"/>
  <c r="Q22" i="53"/>
  <c r="L22" i="53"/>
  <c r="G22" i="53"/>
  <c r="AF21" i="53"/>
  <c r="AA21" i="53"/>
  <c r="V21" i="53"/>
  <c r="Q21" i="53"/>
  <c r="L21" i="53"/>
  <c r="G21" i="53"/>
  <c r="AF20" i="53"/>
  <c r="AA20" i="53"/>
  <c r="V20" i="53"/>
  <c r="Q20" i="53"/>
  <c r="L20" i="53"/>
  <c r="G20" i="53"/>
  <c r="AF17" i="53"/>
  <c r="AA17" i="53"/>
  <c r="V17" i="53"/>
  <c r="Q17" i="53"/>
  <c r="L17" i="53"/>
  <c r="G17" i="53"/>
  <c r="AF16" i="53"/>
  <c r="AA16" i="53"/>
  <c r="V16" i="53"/>
  <c r="Q16" i="53"/>
  <c r="L16" i="53"/>
  <c r="G16" i="53"/>
  <c r="AF15" i="53"/>
  <c r="AA15" i="53"/>
  <c r="V15" i="53"/>
  <c r="Q15" i="53"/>
  <c r="L15" i="53"/>
  <c r="G15" i="53"/>
  <c r="AF14" i="53"/>
  <c r="AA14" i="53"/>
  <c r="V14" i="53"/>
  <c r="Q14" i="53"/>
  <c r="L14" i="53"/>
  <c r="G14" i="53"/>
  <c r="AF12" i="53"/>
  <c r="AE12" i="53"/>
  <c r="AD12" i="53"/>
  <c r="AC12" i="53"/>
  <c r="AB12" i="53"/>
  <c r="AA12" i="53"/>
  <c r="Z12" i="53"/>
  <c r="Y12" i="53"/>
  <c r="X12" i="53"/>
  <c r="W12" i="53"/>
  <c r="V12" i="53"/>
  <c r="U12" i="53"/>
  <c r="T12" i="53"/>
  <c r="S12" i="53"/>
  <c r="R12" i="53"/>
  <c r="Q12" i="53"/>
  <c r="P12" i="53"/>
  <c r="O12" i="53"/>
  <c r="N12" i="53"/>
  <c r="M12" i="53"/>
  <c r="L12" i="53"/>
  <c r="K12" i="53"/>
  <c r="J12" i="53"/>
  <c r="I12" i="53"/>
  <c r="H12" i="53"/>
  <c r="G12" i="53"/>
  <c r="F12" i="53"/>
  <c r="E12" i="53"/>
  <c r="D12" i="53"/>
  <c r="C12" i="53"/>
  <c r="AF11" i="53"/>
  <c r="AA11" i="53"/>
  <c r="V11" i="53"/>
  <c r="Q11" i="53"/>
  <c r="L11" i="53"/>
  <c r="G11" i="53"/>
  <c r="AF10" i="53"/>
  <c r="AA10" i="53"/>
  <c r="V10" i="53"/>
  <c r="Q10" i="53"/>
  <c r="L10" i="53"/>
  <c r="G10" i="53"/>
  <c r="AF9" i="53"/>
  <c r="AA9" i="53"/>
  <c r="V9" i="53"/>
  <c r="Q9" i="53"/>
  <c r="L9" i="53"/>
  <c r="G9" i="53"/>
  <c r="AF8" i="53"/>
  <c r="AA8" i="53"/>
  <c r="V8" i="53"/>
  <c r="Q8" i="53"/>
  <c r="L8" i="53"/>
  <c r="G8" i="53"/>
  <c r="AF6" i="53"/>
  <c r="AA6" i="53"/>
  <c r="V6" i="53"/>
  <c r="Q6" i="53"/>
  <c r="L6" i="53"/>
  <c r="G6" i="53"/>
  <c r="AE17" i="41"/>
  <c r="AD17" i="41"/>
  <c r="AC17" i="41"/>
  <c r="AB17" i="41"/>
  <c r="Z17" i="41"/>
  <c r="Y17" i="41"/>
  <c r="X17" i="41"/>
  <c r="W17" i="41"/>
  <c r="U17" i="41"/>
  <c r="T17" i="41"/>
  <c r="S17" i="41"/>
  <c r="R17" i="41"/>
  <c r="P17" i="41"/>
  <c r="O17" i="41"/>
  <c r="N17" i="41"/>
  <c r="M17" i="41"/>
  <c r="K17" i="41"/>
  <c r="J17" i="41"/>
  <c r="I17" i="41"/>
  <c r="H17" i="41"/>
  <c r="F17" i="41"/>
  <c r="E17" i="41"/>
  <c r="D17" i="41"/>
  <c r="C17" i="41"/>
  <c r="AF15" i="41"/>
  <c r="AA15" i="41"/>
  <c r="V15" i="41"/>
  <c r="Q15" i="41"/>
  <c r="L15" i="41"/>
  <c r="G15" i="41"/>
  <c r="AF14" i="41"/>
  <c r="AA14" i="41"/>
  <c r="V14" i="41"/>
  <c r="Q14" i="41"/>
  <c r="L14" i="41"/>
  <c r="G14" i="41"/>
  <c r="AF13" i="41"/>
  <c r="AA13" i="41"/>
  <c r="V13" i="41"/>
  <c r="Q13" i="41"/>
  <c r="L13" i="41"/>
  <c r="G13" i="41"/>
  <c r="AF12" i="41"/>
  <c r="AA12" i="41"/>
  <c r="V12" i="41"/>
  <c r="Q12" i="41"/>
  <c r="L12" i="41"/>
  <c r="G12" i="41"/>
  <c r="AF11" i="41"/>
  <c r="AD11" i="41"/>
  <c r="AA11" i="41"/>
  <c r="V11" i="41"/>
  <c r="Q11" i="41"/>
  <c r="L11" i="41"/>
  <c r="G11" i="41"/>
  <c r="AF10" i="41"/>
  <c r="AA10" i="41"/>
  <c r="V10" i="41"/>
  <c r="Q10" i="41"/>
  <c r="L10" i="41"/>
  <c r="G10" i="41"/>
  <c r="AF9" i="41"/>
  <c r="AA9" i="41"/>
  <c r="V9" i="41"/>
  <c r="Q9" i="41"/>
  <c r="L9" i="41"/>
  <c r="G9" i="41"/>
  <c r="AF8" i="41"/>
  <c r="AE8" i="41"/>
  <c r="AD8" i="41"/>
  <c r="AA8" i="41"/>
  <c r="V8" i="41"/>
  <c r="Q8" i="41"/>
  <c r="L8" i="41"/>
  <c r="G8" i="41"/>
  <c r="AF7" i="41"/>
  <c r="AA7" i="41"/>
  <c r="V7" i="41"/>
  <c r="Q7" i="41"/>
  <c r="L7" i="41"/>
  <c r="G7" i="41"/>
  <c r="AF6" i="41"/>
  <c r="AA6" i="41"/>
  <c r="V6" i="41"/>
  <c r="Q6" i="41"/>
  <c r="L6" i="41"/>
  <c r="G6" i="41"/>
  <c r="F89" i="44"/>
  <c r="F88" i="44"/>
  <c r="F87" i="44"/>
  <c r="K59" i="44"/>
  <c r="K58" i="44"/>
  <c r="K57" i="44"/>
  <c r="K56" i="44"/>
  <c r="K55" i="44"/>
  <c r="K54" i="44"/>
  <c r="K53" i="44"/>
  <c r="K52" i="44"/>
  <c r="K51" i="44"/>
  <c r="K50" i="44"/>
  <c r="K49" i="44"/>
  <c r="K48" i="44"/>
  <c r="K47" i="44"/>
  <c r="K46" i="44"/>
  <c r="AW45" i="44"/>
  <c r="AV45" i="44"/>
  <c r="AU45" i="44"/>
  <c r="AT45" i="44"/>
  <c r="AQ45" i="44"/>
  <c r="K45" i="44"/>
  <c r="AW44" i="44"/>
  <c r="AV44" i="44"/>
  <c r="AU44" i="44"/>
  <c r="AT44" i="44"/>
  <c r="AQ44" i="44"/>
  <c r="K44" i="44"/>
  <c r="AW43" i="44"/>
  <c r="AV43" i="44"/>
  <c r="AU43" i="44"/>
  <c r="AT43" i="44"/>
  <c r="AQ43" i="44"/>
  <c r="K43" i="44"/>
  <c r="AW42" i="44"/>
  <c r="AV42" i="44"/>
  <c r="AU42" i="44"/>
  <c r="AT42" i="44"/>
  <c r="AQ42" i="44"/>
  <c r="K42" i="44"/>
  <c r="AW41" i="44"/>
  <c r="AV41" i="44"/>
  <c r="AU41" i="44"/>
  <c r="AT41" i="44"/>
  <c r="AQ41" i="44"/>
  <c r="K41" i="44"/>
  <c r="AW40" i="44"/>
  <c r="AV40" i="44"/>
  <c r="AU40" i="44"/>
  <c r="AT40" i="44"/>
  <c r="AQ40" i="44"/>
  <c r="K40" i="44"/>
  <c r="AW39" i="44"/>
  <c r="AV39" i="44"/>
  <c r="AU39" i="44"/>
  <c r="AT39" i="44"/>
  <c r="AQ39" i="44"/>
  <c r="K39" i="44"/>
  <c r="AW38" i="44"/>
  <c r="AV38" i="44"/>
  <c r="AU38" i="44"/>
  <c r="AT38" i="44"/>
  <c r="AQ38" i="44"/>
  <c r="K38" i="44"/>
  <c r="AW37" i="44"/>
  <c r="AV37" i="44"/>
  <c r="AU37" i="44"/>
  <c r="AT37" i="44"/>
  <c r="AQ37" i="44"/>
  <c r="K37" i="44"/>
  <c r="AW36" i="44"/>
  <c r="AV36" i="44"/>
  <c r="AU36" i="44"/>
  <c r="AT36" i="44"/>
  <c r="AQ36" i="44"/>
  <c r="K36" i="44"/>
  <c r="AW35" i="44"/>
  <c r="AV35" i="44"/>
  <c r="AU35" i="44"/>
  <c r="AT35" i="44"/>
  <c r="AQ35" i="44"/>
  <c r="K35" i="44"/>
  <c r="AW34" i="44"/>
  <c r="AV34" i="44"/>
  <c r="AU34" i="44"/>
  <c r="AT34" i="44"/>
  <c r="AQ34" i="44"/>
  <c r="K34" i="44"/>
  <c r="AW33" i="44"/>
  <c r="AV33" i="44"/>
  <c r="AU33" i="44"/>
  <c r="AT33" i="44"/>
  <c r="AQ33" i="44"/>
  <c r="K33" i="44"/>
  <c r="AX32" i="44"/>
  <c r="AW32" i="44"/>
  <c r="AV32" i="44"/>
  <c r="AU32" i="44"/>
  <c r="AT32" i="44"/>
  <c r="AS32" i="44"/>
  <c r="K32" i="44"/>
  <c r="AW31" i="44"/>
  <c r="AV31" i="44"/>
  <c r="AU31" i="44"/>
  <c r="AT31" i="44"/>
  <c r="AQ31" i="44"/>
  <c r="K31" i="44"/>
  <c r="AW30" i="44"/>
  <c r="AV30" i="44"/>
  <c r="AU30" i="44"/>
  <c r="AT30" i="44"/>
  <c r="AQ30" i="44"/>
  <c r="K30" i="44"/>
  <c r="AW29" i="44"/>
  <c r="AV29" i="44"/>
  <c r="AU29" i="44"/>
  <c r="AT29" i="44"/>
  <c r="AQ29" i="44"/>
  <c r="K29" i="44"/>
  <c r="AW28" i="44"/>
  <c r="AV28" i="44"/>
  <c r="AU28" i="44"/>
  <c r="AT28" i="44"/>
  <c r="AQ28" i="44"/>
  <c r="K28" i="44"/>
  <c r="AW27" i="44"/>
  <c r="AV27" i="44"/>
  <c r="AU27" i="44"/>
  <c r="AT27" i="44"/>
  <c r="AQ27" i="44"/>
  <c r="K27" i="44"/>
  <c r="AW26" i="44"/>
  <c r="AV26" i="44"/>
  <c r="AU26" i="44"/>
  <c r="AT26" i="44"/>
  <c r="AQ26" i="44"/>
  <c r="K26" i="44"/>
  <c r="AW25" i="44"/>
  <c r="AV25" i="44"/>
  <c r="AU25" i="44"/>
  <c r="AT25" i="44"/>
  <c r="AQ25" i="44"/>
  <c r="K25" i="44"/>
  <c r="AW24" i="44"/>
  <c r="AV24" i="44"/>
  <c r="AU24" i="44"/>
  <c r="AT24" i="44"/>
  <c r="AQ24" i="44"/>
  <c r="K24" i="44"/>
  <c r="AW23" i="44"/>
  <c r="AV23" i="44"/>
  <c r="AU23" i="44"/>
  <c r="AT23" i="44"/>
  <c r="AQ23" i="44"/>
  <c r="K23" i="44"/>
  <c r="AX22" i="44"/>
  <c r="AW22" i="44"/>
  <c r="AV22" i="44"/>
  <c r="AU22" i="44"/>
  <c r="AT22" i="44"/>
  <c r="AS22" i="44"/>
  <c r="K22" i="44"/>
  <c r="AW21" i="44"/>
  <c r="AV21" i="44"/>
  <c r="AU21" i="44"/>
  <c r="AT21" i="44"/>
  <c r="AQ21" i="44"/>
  <c r="K21" i="44"/>
  <c r="AW20" i="44"/>
  <c r="AV20" i="44"/>
  <c r="AU20" i="44"/>
  <c r="AT20" i="44"/>
  <c r="AQ20" i="44"/>
  <c r="K20" i="44"/>
  <c r="AW19" i="44"/>
  <c r="AV19" i="44"/>
  <c r="AU19" i="44"/>
  <c r="AT19" i="44"/>
  <c r="AQ19" i="44"/>
  <c r="K19" i="44"/>
  <c r="AW18" i="44"/>
  <c r="AV18" i="44"/>
  <c r="AU18" i="44"/>
  <c r="AT18" i="44"/>
  <c r="AQ18" i="44"/>
  <c r="K18" i="44"/>
  <c r="AW17" i="44"/>
  <c r="AV17" i="44"/>
  <c r="AU17" i="44"/>
  <c r="AT17" i="44"/>
  <c r="AQ17" i="44"/>
  <c r="K17" i="44"/>
  <c r="AW16" i="44"/>
  <c r="AV16" i="44"/>
  <c r="AU16" i="44"/>
  <c r="AT16" i="44"/>
  <c r="AQ16" i="44"/>
  <c r="K16" i="44"/>
  <c r="AW15" i="44"/>
  <c r="AV15" i="44"/>
  <c r="AU15" i="44"/>
  <c r="AT15" i="44"/>
  <c r="AQ15" i="44"/>
  <c r="K15" i="44"/>
  <c r="AW14" i="44"/>
  <c r="AV14" i="44"/>
  <c r="AU14" i="44"/>
  <c r="AT14" i="44"/>
  <c r="AQ14" i="44"/>
  <c r="K14" i="44"/>
  <c r="AW13" i="44"/>
  <c r="AV13" i="44"/>
  <c r="AU13" i="44"/>
  <c r="AT13" i="44"/>
  <c r="AQ13" i="44"/>
  <c r="K13" i="44"/>
  <c r="AX12" i="44"/>
  <c r="AW12" i="44"/>
  <c r="AV12" i="44"/>
  <c r="AU12" i="44"/>
  <c r="AT12" i="44"/>
  <c r="AS12" i="44"/>
  <c r="K12" i="44"/>
  <c r="AW11" i="44"/>
  <c r="AV11" i="44"/>
  <c r="AU11" i="44"/>
  <c r="AT11" i="44"/>
  <c r="K11" i="44"/>
  <c r="AW10" i="44"/>
  <c r="AV10" i="44"/>
  <c r="AU10" i="44"/>
  <c r="AT10" i="44"/>
  <c r="K10" i="44"/>
  <c r="AX9" i="44"/>
  <c r="AW9" i="44"/>
  <c r="AV9" i="44"/>
  <c r="AU9" i="44"/>
  <c r="AT9" i="44"/>
  <c r="AS9" i="44"/>
  <c r="K9" i="44"/>
  <c r="AW8" i="44"/>
  <c r="AV8" i="44"/>
  <c r="AU8" i="44"/>
  <c r="AT8" i="44"/>
  <c r="K8" i="44"/>
  <c r="AX7" i="44"/>
  <c r="AW7" i="44"/>
  <c r="AV7" i="44"/>
  <c r="AU7" i="44"/>
  <c r="AT7" i="44"/>
  <c r="AS7" i="44"/>
  <c r="AW6" i="44"/>
  <c r="AV6" i="44"/>
  <c r="AU6" i="44"/>
  <c r="AT6" i="44"/>
  <c r="AX5" i="44"/>
  <c r="AW5" i="44"/>
  <c r="AV5" i="44"/>
  <c r="AU5" i="44"/>
  <c r="AT5" i="44"/>
  <c r="AS5" i="44"/>
  <c r="AW4" i="44"/>
  <c r="AV4" i="44"/>
  <c r="AU4" i="44"/>
  <c r="AT4" i="44"/>
  <c r="AS4" i="44"/>
  <c r="AX3" i="44"/>
  <c r="AV3" i="44"/>
  <c r="AU3" i="44"/>
  <c r="AT3" i="44"/>
  <c r="AS3" i="44"/>
  <c r="B3" i="44"/>
  <c r="E96" i="15"/>
  <c r="D96" i="15"/>
  <c r="C96" i="15"/>
  <c r="F95" i="15"/>
  <c r="F94" i="15"/>
  <c r="F93" i="15"/>
  <c r="F92" i="15"/>
  <c r="F91" i="15"/>
  <c r="F90" i="15"/>
  <c r="F89" i="15"/>
  <c r="F88" i="15"/>
  <c r="F87" i="15"/>
  <c r="F86" i="15"/>
  <c r="B86" i="15"/>
  <c r="B87" i="15" s="1"/>
  <c r="B88" i="15" s="1"/>
  <c r="B89" i="15" s="1"/>
  <c r="B90" i="15" s="1"/>
  <c r="B91" i="15" s="1"/>
  <c r="B92" i="15" s="1"/>
  <c r="B93" i="15" s="1"/>
  <c r="B94" i="15" s="1"/>
  <c r="B95" i="15" s="1"/>
  <c r="F85" i="15"/>
  <c r="B79" i="15"/>
  <c r="C69" i="15"/>
  <c r="C68" i="15"/>
  <c r="E66" i="15"/>
  <c r="E67" i="15" s="1"/>
  <c r="E61" i="15"/>
  <c r="D61" i="15"/>
  <c r="C61" i="15"/>
  <c r="F60" i="15"/>
  <c r="F59" i="15"/>
  <c r="F58" i="15"/>
  <c r="F57" i="15"/>
  <c r="F56" i="15"/>
  <c r="F55" i="15"/>
  <c r="F54" i="15"/>
  <c r="F53" i="15"/>
  <c r="F52" i="15"/>
  <c r="F51" i="15"/>
  <c r="F50" i="15"/>
  <c r="F49" i="15"/>
  <c r="F48" i="15"/>
  <c r="F47" i="15"/>
  <c r="F46" i="15"/>
  <c r="F45" i="15"/>
  <c r="F44" i="15"/>
  <c r="F43" i="15"/>
  <c r="F42" i="15"/>
  <c r="E24" i="15"/>
  <c r="K22" i="15"/>
  <c r="L22" i="15" s="1"/>
  <c r="M22" i="15" s="1"/>
  <c r="K21" i="15"/>
  <c r="L21" i="15" s="1"/>
  <c r="M21" i="15" s="1"/>
  <c r="N21" i="15" s="1"/>
  <c r="O21" i="15" s="1"/>
  <c r="P21" i="15" s="1"/>
  <c r="Q21" i="15" s="1"/>
  <c r="R21" i="15" s="1"/>
  <c r="S21" i="15" s="1"/>
  <c r="T21" i="15" s="1"/>
  <c r="U21" i="15" s="1"/>
  <c r="V21" i="15" s="1"/>
  <c r="W21" i="15" s="1"/>
  <c r="X21" i="15" s="1"/>
  <c r="Y21" i="15" s="1"/>
  <c r="Z21" i="15" s="1"/>
  <c r="AA21" i="15" s="1"/>
  <c r="AB21" i="15" s="1"/>
  <c r="AC21" i="15" s="1"/>
  <c r="AD21" i="15" s="1"/>
  <c r="AE21" i="15" s="1"/>
  <c r="AF21" i="15" s="1"/>
  <c r="AG21" i="15" s="1"/>
  <c r="AH21" i="15" s="1"/>
  <c r="AI21" i="15" s="1"/>
  <c r="AJ21" i="15" s="1"/>
  <c r="AK21" i="15" s="1"/>
  <c r="AL21" i="15" s="1"/>
  <c r="AM21" i="15" s="1"/>
  <c r="AN21" i="15" s="1"/>
  <c r="AO21" i="15" s="1"/>
  <c r="AP21" i="15" s="1"/>
  <c r="AQ21" i="15" s="1"/>
  <c r="AR21" i="15" s="1"/>
  <c r="AS21" i="15" s="1"/>
  <c r="AT21" i="15" s="1"/>
  <c r="AU21" i="15" s="1"/>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L19" i="15"/>
  <c r="K19" i="15"/>
  <c r="J19" i="15"/>
  <c r="I19" i="15"/>
  <c r="H19" i="15"/>
  <c r="G19" i="15"/>
  <c r="F19" i="15"/>
  <c r="E19" i="15"/>
  <c r="B9" i="15"/>
  <c r="AR15" i="15" s="1"/>
  <c r="B8" i="15"/>
  <c r="E17" i="15" s="1"/>
  <c r="F17" i="15" s="1"/>
  <c r="G17" i="15" s="1"/>
  <c r="H17" i="15" s="1"/>
  <c r="I17" i="15" s="1"/>
  <c r="J17" i="15" s="1"/>
  <c r="K17" i="15" s="1"/>
  <c r="L17" i="15" s="1"/>
  <c r="M17" i="15" s="1"/>
  <c r="N17" i="15" s="1"/>
  <c r="O17" i="15" s="1"/>
  <c r="P17" i="15" s="1"/>
  <c r="Q17" i="15" s="1"/>
  <c r="R17" i="15" s="1"/>
  <c r="S17" i="15" s="1"/>
  <c r="T17" i="15" s="1"/>
  <c r="U17" i="15" s="1"/>
  <c r="V17" i="15" s="1"/>
  <c r="W17" i="15" s="1"/>
  <c r="X17" i="15" s="1"/>
  <c r="Y17" i="15" s="1"/>
  <c r="Z17" i="15" s="1"/>
  <c r="AA17" i="15" s="1"/>
  <c r="AB17" i="15" s="1"/>
  <c r="AC17" i="15" s="1"/>
  <c r="AD17" i="15" s="1"/>
  <c r="AE17" i="15" s="1"/>
  <c r="AF17" i="15" s="1"/>
  <c r="AG17" i="15" s="1"/>
  <c r="AH17" i="15" s="1"/>
  <c r="AI17" i="15" s="1"/>
  <c r="AJ17" i="15" s="1"/>
  <c r="AK17" i="15" s="1"/>
  <c r="AL17" i="15" s="1"/>
  <c r="AM17" i="15" s="1"/>
  <c r="AN17" i="15" s="1"/>
  <c r="AO17" i="15" s="1"/>
  <c r="AP17" i="15" s="1"/>
  <c r="AQ17" i="15" s="1"/>
  <c r="AR17" i="15" s="1"/>
  <c r="AS17" i="15" s="1"/>
  <c r="AT17" i="15" s="1"/>
  <c r="AU17" i="15" s="1"/>
  <c r="E1" i="15"/>
  <c r="F1" i="15" s="1"/>
  <c r="F69" i="15" s="1"/>
  <c r="BF218" i="58"/>
  <c r="BE218" i="58"/>
  <c r="BD218" i="58"/>
  <c r="BC218" i="58"/>
  <c r="BI195" i="58"/>
  <c r="AB42" i="40"/>
  <c r="AC42" i="40" s="1"/>
  <c r="AA42" i="40"/>
  <c r="W42" i="40"/>
  <c r="V42" i="40"/>
  <c r="R42" i="40"/>
  <c r="S42" i="40" s="1"/>
  <c r="Q42" i="40"/>
  <c r="M42" i="40"/>
  <c r="L42" i="40"/>
  <c r="H42" i="40"/>
  <c r="AA61" i="40"/>
  <c r="V61" i="40"/>
  <c r="Q61" i="40"/>
  <c r="L61" i="40"/>
  <c r="G61" i="40"/>
  <c r="AA60" i="40"/>
  <c r="V60" i="40"/>
  <c r="Q60" i="40"/>
  <c r="L60" i="40"/>
  <c r="G60" i="40"/>
  <c r="AE58" i="40"/>
  <c r="AA58" i="40"/>
  <c r="V58" i="40"/>
  <c r="Q58" i="40"/>
  <c r="L58" i="40"/>
  <c r="G58" i="40"/>
  <c r="AE57" i="40"/>
  <c r="AA57" i="40"/>
  <c r="V57" i="40"/>
  <c r="Q57" i="40"/>
  <c r="L57" i="40"/>
  <c r="G57" i="40"/>
  <c r="AE56" i="40"/>
  <c r="AA56" i="40"/>
  <c r="V56" i="40"/>
  <c r="Q56" i="40"/>
  <c r="L56" i="40"/>
  <c r="G56" i="40"/>
  <c r="AE54" i="40"/>
  <c r="AA54" i="40"/>
  <c r="V54" i="40"/>
  <c r="Q54" i="40"/>
  <c r="L54" i="40"/>
  <c r="G54" i="40"/>
  <c r="AE53" i="40"/>
  <c r="AE52" i="40" s="1"/>
  <c r="AA53" i="40"/>
  <c r="V53" i="40"/>
  <c r="Q53" i="40"/>
  <c r="L53" i="40"/>
  <c r="G53" i="40"/>
  <c r="AF52" i="40"/>
  <c r="AD52" i="40"/>
  <c r="AC52" i="40"/>
  <c r="AB52" i="40"/>
  <c r="Z52" i="40"/>
  <c r="Y52" i="40"/>
  <c r="X52" i="40"/>
  <c r="W52" i="40"/>
  <c r="U52" i="40"/>
  <c r="T52" i="40"/>
  <c r="S52" i="40"/>
  <c r="R52" i="40"/>
  <c r="P52" i="40"/>
  <c r="O52" i="40"/>
  <c r="N52" i="40"/>
  <c r="M52" i="40"/>
  <c r="K52" i="40"/>
  <c r="J52" i="40"/>
  <c r="I52" i="40"/>
  <c r="H52" i="40"/>
  <c r="F52" i="40"/>
  <c r="E52" i="40"/>
  <c r="D52" i="40"/>
  <c r="C52" i="40"/>
  <c r="AH50" i="40"/>
  <c r="AI50" i="40" s="1"/>
  <c r="AJ50" i="40" s="1"/>
  <c r="AK50" i="40" s="1"/>
  <c r="AL50" i="40" s="1"/>
  <c r="AM50" i="40" s="1"/>
  <c r="AN50" i="40" s="1"/>
  <c r="AO50" i="40" s="1"/>
  <c r="AP50" i="40" s="1"/>
  <c r="AQ50" i="40" s="1"/>
  <c r="AR50" i="40" s="1"/>
  <c r="AS50" i="40" s="1"/>
  <c r="AT50" i="40" s="1"/>
  <c r="AU50" i="40" s="1"/>
  <c r="AV50" i="40" s="1"/>
  <c r="AW50" i="40" s="1"/>
  <c r="AX50" i="40" s="1"/>
  <c r="AY50" i="40" s="1"/>
  <c r="AZ50" i="40" s="1"/>
  <c r="BA50" i="40" s="1"/>
  <c r="BB50" i="40" s="1"/>
  <c r="BC50" i="40" s="1"/>
  <c r="BD50" i="40" s="1"/>
  <c r="BE50" i="40" s="1"/>
  <c r="BF50" i="40" s="1"/>
  <c r="BG50" i="40" s="1"/>
  <c r="BH50" i="40" s="1"/>
  <c r="BI50" i="40" s="1"/>
  <c r="BJ50" i="40" s="1"/>
  <c r="BK50" i="40" s="1"/>
  <c r="BL50" i="40" s="1"/>
  <c r="BM50" i="40" s="1"/>
  <c r="BN50" i="40" s="1"/>
  <c r="BO50" i="40" s="1"/>
  <c r="BP50" i="40" s="1"/>
  <c r="BQ50" i="40" s="1"/>
  <c r="BR50" i="40" s="1"/>
  <c r="BS50" i="40" s="1"/>
  <c r="BT50" i="40" s="1"/>
  <c r="BU50" i="40" s="1"/>
  <c r="BV50" i="40" s="1"/>
  <c r="BW50" i="40" s="1"/>
  <c r="C50" i="40"/>
  <c r="D50" i="40" s="1"/>
  <c r="E50" i="40" s="1"/>
  <c r="F50" i="40" s="1"/>
  <c r="G50" i="40" s="1"/>
  <c r="H50" i="40" s="1"/>
  <c r="I50" i="40" s="1"/>
  <c r="J50" i="40" s="1"/>
  <c r="K50" i="40" s="1"/>
  <c r="L50" i="40" s="1"/>
  <c r="M50" i="40" s="1"/>
  <c r="N50" i="40" s="1"/>
  <c r="O50" i="40" s="1"/>
  <c r="P50" i="40" s="1"/>
  <c r="Q50" i="40" s="1"/>
  <c r="R50" i="40" s="1"/>
  <c r="S50" i="40" s="1"/>
  <c r="T50" i="40" s="1"/>
  <c r="U50" i="40" s="1"/>
  <c r="V50" i="40" s="1"/>
  <c r="W50" i="40" s="1"/>
  <c r="X50" i="40" s="1"/>
  <c r="Y50" i="40" s="1"/>
  <c r="Z50" i="40" s="1"/>
  <c r="AA50" i="40" s="1"/>
  <c r="AB50" i="40" s="1"/>
  <c r="AC50" i="40" s="1"/>
  <c r="AD50" i="40" s="1"/>
  <c r="AE48" i="40"/>
  <c r="AA48" i="40"/>
  <c r="V48" i="40"/>
  <c r="Q48" i="40"/>
  <c r="L48" i="40"/>
  <c r="G48" i="40"/>
  <c r="AE47" i="40"/>
  <c r="AA47" i="40"/>
  <c r="V47" i="40"/>
  <c r="Q47" i="40"/>
  <c r="L47" i="40"/>
  <c r="G47" i="40"/>
  <c r="AE46" i="40"/>
  <c r="AA46" i="40"/>
  <c r="V46" i="40"/>
  <c r="Q46" i="40"/>
  <c r="L46" i="40"/>
  <c r="G46" i="40"/>
  <c r="AF45" i="40"/>
  <c r="AD45" i="40"/>
  <c r="AD9" i="36" s="1"/>
  <c r="AC45" i="40"/>
  <c r="AC9" i="36" s="1"/>
  <c r="AB45" i="40"/>
  <c r="AB9" i="36" s="1"/>
  <c r="Z45" i="40"/>
  <c r="Y45" i="40"/>
  <c r="X45" i="40"/>
  <c r="W45" i="40"/>
  <c r="U45" i="40"/>
  <c r="T45" i="40"/>
  <c r="S45" i="40"/>
  <c r="R45" i="40"/>
  <c r="P45" i="40"/>
  <c r="O45" i="40"/>
  <c r="N45" i="40"/>
  <c r="M45" i="40"/>
  <c r="K45" i="40"/>
  <c r="J45" i="40"/>
  <c r="I45" i="40"/>
  <c r="H45" i="40"/>
  <c r="F45" i="40"/>
  <c r="E45" i="40"/>
  <c r="D45" i="40"/>
  <c r="C45" i="40"/>
  <c r="AE41" i="40"/>
  <c r="AD41" i="40"/>
  <c r="AC41" i="40"/>
  <c r="AB41" i="40"/>
  <c r="Z41" i="40"/>
  <c r="Y41" i="40"/>
  <c r="X41" i="40"/>
  <c r="W41" i="40"/>
  <c r="U41" i="40"/>
  <c r="T41" i="40"/>
  <c r="S41" i="40"/>
  <c r="R41" i="40"/>
  <c r="P41" i="40"/>
  <c r="O41" i="40"/>
  <c r="N41" i="40"/>
  <c r="M41" i="40"/>
  <c r="K41" i="40"/>
  <c r="J41" i="40"/>
  <c r="I41" i="40"/>
  <c r="H41" i="40"/>
  <c r="F41" i="40"/>
  <c r="E41" i="40"/>
  <c r="D41" i="40"/>
  <c r="C41" i="40"/>
  <c r="AE40" i="40"/>
  <c r="AD40" i="40"/>
  <c r="AC40" i="40"/>
  <c r="AB40" i="40"/>
  <c r="Z40" i="40"/>
  <c r="Y40" i="40"/>
  <c r="X40" i="40"/>
  <c r="W40" i="40"/>
  <c r="U40" i="40"/>
  <c r="T40" i="40"/>
  <c r="S40" i="40"/>
  <c r="R40" i="40"/>
  <c r="P40" i="40"/>
  <c r="O40" i="40"/>
  <c r="N40" i="40"/>
  <c r="M40" i="40"/>
  <c r="K40" i="40"/>
  <c r="J40" i="40"/>
  <c r="I40" i="40"/>
  <c r="H40" i="40"/>
  <c r="F40" i="40"/>
  <c r="E40" i="40"/>
  <c r="D40" i="40"/>
  <c r="C40" i="40"/>
  <c r="AE39" i="40"/>
  <c r="AD39" i="40"/>
  <c r="AC39" i="40"/>
  <c r="AB39" i="40"/>
  <c r="Z39" i="40"/>
  <c r="Y39" i="40"/>
  <c r="X39" i="40"/>
  <c r="W39" i="40"/>
  <c r="U39" i="40"/>
  <c r="T39" i="40"/>
  <c r="S39" i="40"/>
  <c r="R39" i="40"/>
  <c r="P39" i="40"/>
  <c r="O39" i="40"/>
  <c r="N39" i="40"/>
  <c r="M39" i="40"/>
  <c r="K39" i="40"/>
  <c r="J39" i="40"/>
  <c r="I39" i="40"/>
  <c r="H39" i="40"/>
  <c r="F39" i="40"/>
  <c r="E39" i="40"/>
  <c r="D39" i="40"/>
  <c r="C39" i="40"/>
  <c r="AE38" i="40"/>
  <c r="AD38" i="40"/>
  <c r="AC38" i="40"/>
  <c r="AB38" i="40"/>
  <c r="Z38" i="40"/>
  <c r="Y38" i="40"/>
  <c r="X38" i="40"/>
  <c r="W38" i="40"/>
  <c r="U38" i="40"/>
  <c r="T38" i="40"/>
  <c r="S38" i="40"/>
  <c r="R38" i="40"/>
  <c r="P38" i="40"/>
  <c r="O38" i="40"/>
  <c r="N38" i="40"/>
  <c r="M38" i="40"/>
  <c r="K38" i="40"/>
  <c r="J38" i="40"/>
  <c r="I38" i="40"/>
  <c r="H38" i="40"/>
  <c r="F38" i="40"/>
  <c r="E38" i="40"/>
  <c r="D38" i="40"/>
  <c r="C38" i="40"/>
  <c r="AF37" i="40"/>
  <c r="AA37" i="40"/>
  <c r="V37" i="40"/>
  <c r="Q37" i="40"/>
  <c r="L37" i="40"/>
  <c r="G37" i="40"/>
  <c r="AF36" i="40"/>
  <c r="AA36" i="40"/>
  <c r="V36" i="40"/>
  <c r="Q36" i="40"/>
  <c r="L36" i="40"/>
  <c r="G36" i="40"/>
  <c r="AF35" i="40"/>
  <c r="AA35" i="40"/>
  <c r="V35" i="40"/>
  <c r="Q35" i="40"/>
  <c r="L35" i="40"/>
  <c r="G35" i="40"/>
  <c r="AF34" i="40"/>
  <c r="AA34" i="40"/>
  <c r="V34" i="40"/>
  <c r="Q34" i="40"/>
  <c r="L34" i="40"/>
  <c r="G34" i="40"/>
  <c r="AF33" i="40"/>
  <c r="AA33" i="40"/>
  <c r="V33" i="40"/>
  <c r="Q33" i="40"/>
  <c r="L33" i="40"/>
  <c r="G33" i="40"/>
  <c r="AF32" i="40"/>
  <c r="AA32" i="40"/>
  <c r="V32" i="40"/>
  <c r="Q32" i="40"/>
  <c r="L32" i="40"/>
  <c r="G32" i="40"/>
  <c r="AE30" i="40"/>
  <c r="AD30" i="40"/>
  <c r="AC30" i="40"/>
  <c r="AB30" i="40"/>
  <c r="Z30" i="40"/>
  <c r="Y30" i="40"/>
  <c r="X30" i="40"/>
  <c r="W30" i="40"/>
  <c r="U30" i="40"/>
  <c r="T30" i="40"/>
  <c r="S30" i="40"/>
  <c r="R30" i="40"/>
  <c r="P30" i="40"/>
  <c r="O30" i="40"/>
  <c r="O27" i="40" s="1"/>
  <c r="N30" i="40"/>
  <c r="M30" i="40"/>
  <c r="K30" i="40"/>
  <c r="J30" i="40"/>
  <c r="I30" i="40"/>
  <c r="H30" i="40"/>
  <c r="F30" i="40"/>
  <c r="E30" i="40"/>
  <c r="E27" i="40" s="1"/>
  <c r="D30" i="40"/>
  <c r="C30" i="40"/>
  <c r="AH29" i="40"/>
  <c r="AI29" i="40" s="1"/>
  <c r="AJ29" i="40" s="1"/>
  <c r="AK29" i="40" s="1"/>
  <c r="AL29" i="40" s="1"/>
  <c r="AM29" i="40" s="1"/>
  <c r="AN29" i="40" s="1"/>
  <c r="AO29" i="40" s="1"/>
  <c r="AP29" i="40" s="1"/>
  <c r="AQ29" i="40" s="1"/>
  <c r="AR29" i="40" s="1"/>
  <c r="AS29" i="40" s="1"/>
  <c r="AT29" i="40" s="1"/>
  <c r="AU29" i="40" s="1"/>
  <c r="AV29" i="40" s="1"/>
  <c r="AW29" i="40" s="1"/>
  <c r="AX29" i="40" s="1"/>
  <c r="AY29" i="40" s="1"/>
  <c r="AZ29" i="40" s="1"/>
  <c r="BA29" i="40" s="1"/>
  <c r="BB29" i="40" s="1"/>
  <c r="BC29" i="40" s="1"/>
  <c r="BD29" i="40" s="1"/>
  <c r="BE29" i="40" s="1"/>
  <c r="BF29" i="40" s="1"/>
  <c r="BG29" i="40" s="1"/>
  <c r="BH29" i="40" s="1"/>
  <c r="BI29" i="40" s="1"/>
  <c r="BJ29" i="40" s="1"/>
  <c r="BK29" i="40" s="1"/>
  <c r="BL29" i="40" s="1"/>
  <c r="BM29" i="40" s="1"/>
  <c r="BN29" i="40" s="1"/>
  <c r="BO29" i="40" s="1"/>
  <c r="BP29" i="40" s="1"/>
  <c r="BQ29" i="40" s="1"/>
  <c r="BR29" i="40" s="1"/>
  <c r="BS29" i="40" s="1"/>
  <c r="BT29" i="40" s="1"/>
  <c r="BU29" i="40" s="1"/>
  <c r="BV29" i="40" s="1"/>
  <c r="BW29" i="40" s="1"/>
  <c r="AE28" i="40"/>
  <c r="AD28" i="40"/>
  <c r="AC28" i="40"/>
  <c r="AB28" i="40"/>
  <c r="BW25" i="40"/>
  <c r="BV25" i="40"/>
  <c r="BU25" i="40"/>
  <c r="BT25" i="40"/>
  <c r="BS25" i="40"/>
  <c r="BR25" i="40"/>
  <c r="BQ25" i="40"/>
  <c r="BP25" i="40"/>
  <c r="BO25" i="40"/>
  <c r="BN25" i="40"/>
  <c r="BM25" i="40"/>
  <c r="BL25" i="40"/>
  <c r="BK25" i="40"/>
  <c r="BJ25" i="40"/>
  <c r="BI25" i="40"/>
  <c r="BH25" i="40"/>
  <c r="BG25" i="40"/>
  <c r="BF25" i="40"/>
  <c r="BE25" i="40"/>
  <c r="BD25" i="40"/>
  <c r="BC25" i="40"/>
  <c r="BB25" i="40"/>
  <c r="BA25" i="40"/>
  <c r="AZ25" i="40"/>
  <c r="AY25" i="40"/>
  <c r="AX25" i="40"/>
  <c r="AW25" i="40"/>
  <c r="AV25" i="40"/>
  <c r="AU25" i="40"/>
  <c r="AT25" i="40"/>
  <c r="AS25" i="40"/>
  <c r="AR25" i="40"/>
  <c r="AQ25" i="40"/>
  <c r="AP25" i="40"/>
  <c r="AO25" i="40"/>
  <c r="AN25" i="40"/>
  <c r="AM25" i="40"/>
  <c r="AL25" i="40"/>
  <c r="AK25" i="40"/>
  <c r="AJ25" i="40"/>
  <c r="AI25" i="40"/>
  <c r="AH25" i="40"/>
  <c r="AG25" i="40"/>
  <c r="AF22" i="40"/>
  <c r="Z22" i="40"/>
  <c r="AA22" i="40" s="1"/>
  <c r="U22" i="40"/>
  <c r="V22" i="40" s="1"/>
  <c r="AE20" i="40"/>
  <c r="AD20" i="40"/>
  <c r="AD64" i="40" s="1"/>
  <c r="AC20" i="40"/>
  <c r="AC21" i="40" s="1"/>
  <c r="AB20" i="40"/>
  <c r="Z20" i="40"/>
  <c r="Z21" i="40" s="1"/>
  <c r="Y20" i="40"/>
  <c r="Y21" i="40" s="1"/>
  <c r="X20" i="40"/>
  <c r="X21" i="40" s="1"/>
  <c r="W20" i="40"/>
  <c r="U20" i="40"/>
  <c r="U21" i="40" s="1"/>
  <c r="T20" i="40"/>
  <c r="S20" i="40"/>
  <c r="R20" i="40"/>
  <c r="R21" i="40" s="1"/>
  <c r="P20" i="40"/>
  <c r="P21" i="40" s="1"/>
  <c r="O20" i="40"/>
  <c r="N20" i="40"/>
  <c r="N64" i="40" s="1"/>
  <c r="M20" i="40"/>
  <c r="M21" i="40" s="1"/>
  <c r="K20" i="40"/>
  <c r="J20" i="40"/>
  <c r="J21" i="40" s="1"/>
  <c r="I20" i="40"/>
  <c r="I21" i="40" s="1"/>
  <c r="H20" i="40"/>
  <c r="H21" i="40" s="1"/>
  <c r="F20" i="40"/>
  <c r="F64" i="40" s="1"/>
  <c r="E20" i="40"/>
  <c r="E21" i="40" s="1"/>
  <c r="D20" i="40"/>
  <c r="D64" i="40" s="1"/>
  <c r="C20" i="40"/>
  <c r="AB17" i="40"/>
  <c r="W17" i="40"/>
  <c r="R17" i="40"/>
  <c r="M17" i="40"/>
  <c r="N17" i="40" s="1"/>
  <c r="H17" i="40"/>
  <c r="I17" i="40" s="1"/>
  <c r="C17" i="40"/>
  <c r="D17" i="40" s="1"/>
  <c r="E17" i="40" s="1"/>
  <c r="AE16" i="40"/>
  <c r="AE31" i="40" s="1"/>
  <c r="AD16" i="40"/>
  <c r="AD37" i="53" s="1"/>
  <c r="AC16" i="40"/>
  <c r="AC37" i="53" s="1"/>
  <c r="AB16" i="40"/>
  <c r="AB5" i="39" s="1"/>
  <c r="W16" i="40"/>
  <c r="W37" i="53" s="1"/>
  <c r="R16" i="40"/>
  <c r="R23" i="40" s="1"/>
  <c r="M16" i="40"/>
  <c r="M37" i="53" s="1"/>
  <c r="H16" i="40"/>
  <c r="H5" i="39" s="1"/>
  <c r="C16" i="40"/>
  <c r="C37" i="53" s="1"/>
  <c r="AF9" i="40"/>
  <c r="AE9" i="40"/>
  <c r="H9" i="40"/>
  <c r="AF5" i="40"/>
  <c r="AF11" i="8" s="1"/>
  <c r="AE5" i="40"/>
  <c r="AE11" i="8" s="1"/>
  <c r="AA5" i="40"/>
  <c r="AA10" i="8" s="1"/>
  <c r="Z5" i="40"/>
  <c r="Y5" i="40" s="1"/>
  <c r="Y8" i="8" s="1"/>
  <c r="V5" i="40"/>
  <c r="V9" i="39" s="1"/>
  <c r="U5" i="40"/>
  <c r="T5" i="40" s="1"/>
  <c r="T10" i="8" s="1"/>
  <c r="Q5" i="40"/>
  <c r="P5" i="40"/>
  <c r="O5" i="40" s="1"/>
  <c r="L5" i="40"/>
  <c r="L10" i="8" s="1"/>
  <c r="K5" i="40"/>
  <c r="K11" i="8" s="1"/>
  <c r="G5" i="40"/>
  <c r="G9" i="39" s="1"/>
  <c r="F5" i="40"/>
  <c r="E5" i="40" s="1"/>
  <c r="E2" i="53" s="1"/>
  <c r="AE71" i="39"/>
  <c r="AC71" i="39"/>
  <c r="AC72" i="39" s="1"/>
  <c r="AB71" i="39"/>
  <c r="Z71" i="39"/>
  <c r="Y71" i="39"/>
  <c r="X71" i="39"/>
  <c r="W71" i="39"/>
  <c r="U71" i="39"/>
  <c r="T71" i="39"/>
  <c r="S71" i="39"/>
  <c r="R71" i="39"/>
  <c r="P71" i="39"/>
  <c r="O71" i="39"/>
  <c r="O72" i="39" s="1"/>
  <c r="N71" i="39"/>
  <c r="M71" i="39"/>
  <c r="K71" i="39"/>
  <c r="J71" i="39"/>
  <c r="I71" i="39"/>
  <c r="I72" i="39" s="1"/>
  <c r="H71" i="39"/>
  <c r="F71" i="39"/>
  <c r="E71" i="39"/>
  <c r="D71" i="39"/>
  <c r="C71" i="39"/>
  <c r="AE64" i="39"/>
  <c r="AF64" i="39" s="1"/>
  <c r="AA64" i="39"/>
  <c r="V64" i="39"/>
  <c r="Q64" i="39"/>
  <c r="L64" i="39"/>
  <c r="G64" i="39"/>
  <c r="AA63" i="39"/>
  <c r="V63" i="39"/>
  <c r="Q63" i="39"/>
  <c r="L63" i="39"/>
  <c r="G63" i="39"/>
  <c r="AA62" i="39"/>
  <c r="V62" i="39"/>
  <c r="Q62" i="39"/>
  <c r="L62" i="39"/>
  <c r="G62" i="39"/>
  <c r="AA61" i="39"/>
  <c r="V61" i="39"/>
  <c r="Q61" i="39"/>
  <c r="L61" i="39"/>
  <c r="G61" i="39"/>
  <c r="AA60" i="39"/>
  <c r="V60" i="39"/>
  <c r="AA59" i="39"/>
  <c r="V59" i="39"/>
  <c r="Q59" i="39"/>
  <c r="L59" i="39"/>
  <c r="G59" i="39"/>
  <c r="G57" i="39" s="1"/>
  <c r="AA58" i="39"/>
  <c r="V58" i="39"/>
  <c r="Q58" i="39"/>
  <c r="L58" i="39"/>
  <c r="G58" i="39"/>
  <c r="AE57" i="39"/>
  <c r="AE31" i="36" s="1"/>
  <c r="AD57" i="39"/>
  <c r="AD31" i="36" s="1"/>
  <c r="AC57" i="39"/>
  <c r="AC31" i="36" s="1"/>
  <c r="AB57" i="39"/>
  <c r="AB31" i="36" s="1"/>
  <c r="Z57" i="39"/>
  <c r="Y57" i="39"/>
  <c r="X57" i="39"/>
  <c r="W57" i="39"/>
  <c r="U57" i="39"/>
  <c r="T57" i="39"/>
  <c r="S57" i="39"/>
  <c r="R57" i="39"/>
  <c r="P57" i="39"/>
  <c r="O57" i="39"/>
  <c r="N57" i="39"/>
  <c r="M57" i="39"/>
  <c r="K57" i="39"/>
  <c r="J57" i="39"/>
  <c r="I57" i="39"/>
  <c r="H57" i="39"/>
  <c r="F57" i="39"/>
  <c r="E57" i="39"/>
  <c r="D57" i="39"/>
  <c r="C57" i="39"/>
  <c r="AD56" i="39"/>
  <c r="AA56" i="39"/>
  <c r="V56" i="39"/>
  <c r="Q56" i="39"/>
  <c r="L56" i="39"/>
  <c r="G56" i="39"/>
  <c r="AA55" i="39"/>
  <c r="V55" i="39"/>
  <c r="Q55" i="39"/>
  <c r="L55" i="39"/>
  <c r="G55" i="39"/>
  <c r="AH54" i="39"/>
  <c r="AI54" i="39" s="1"/>
  <c r="AD54" i="39"/>
  <c r="AA54" i="39"/>
  <c r="V54" i="39"/>
  <c r="Q54" i="39"/>
  <c r="L54" i="39"/>
  <c r="G54" i="39"/>
  <c r="AG53" i="39"/>
  <c r="AH53" i="39" s="1"/>
  <c r="AI53" i="39" s="1"/>
  <c r="AJ53" i="39" s="1"/>
  <c r="AK53" i="39" s="1"/>
  <c r="AL53" i="39" s="1"/>
  <c r="AM53" i="39" s="1"/>
  <c r="AN53" i="39" s="1"/>
  <c r="AO53" i="39" s="1"/>
  <c r="AP53" i="39" s="1"/>
  <c r="AQ53" i="39" s="1"/>
  <c r="AR53" i="39" s="1"/>
  <c r="AS53" i="39" s="1"/>
  <c r="AT53" i="39" s="1"/>
  <c r="AU53" i="39" s="1"/>
  <c r="AV53" i="39" s="1"/>
  <c r="AW53" i="39" s="1"/>
  <c r="AX53" i="39" s="1"/>
  <c r="AY53" i="39" s="1"/>
  <c r="AZ53" i="39" s="1"/>
  <c r="BA53" i="39" s="1"/>
  <c r="BB53" i="39" s="1"/>
  <c r="BC53" i="39" s="1"/>
  <c r="BD53" i="39" s="1"/>
  <c r="BE53" i="39" s="1"/>
  <c r="BF53" i="39" s="1"/>
  <c r="BG53" i="39" s="1"/>
  <c r="BH53" i="39" s="1"/>
  <c r="BI53" i="39" s="1"/>
  <c r="BJ53" i="39" s="1"/>
  <c r="BK53" i="39" s="1"/>
  <c r="BL53" i="39" s="1"/>
  <c r="BM53" i="39" s="1"/>
  <c r="BN53" i="39" s="1"/>
  <c r="BO53" i="39" s="1"/>
  <c r="BP53" i="39" s="1"/>
  <c r="BQ53" i="39" s="1"/>
  <c r="BR53" i="39" s="1"/>
  <c r="BS53" i="39" s="1"/>
  <c r="BT53" i="39" s="1"/>
  <c r="BU53" i="39" s="1"/>
  <c r="BV53" i="39" s="1"/>
  <c r="BW53" i="39" s="1"/>
  <c r="AA53" i="39"/>
  <c r="V53" i="39"/>
  <c r="AD52" i="39"/>
  <c r="AA52" i="39"/>
  <c r="V52" i="39"/>
  <c r="V51" i="39" s="1"/>
  <c r="Q52" i="39"/>
  <c r="L52" i="39"/>
  <c r="G52" i="39"/>
  <c r="AE51" i="39"/>
  <c r="AF51" i="39" s="1"/>
  <c r="AC51" i="39"/>
  <c r="AB51" i="39"/>
  <c r="Z51" i="39"/>
  <c r="Y51" i="39"/>
  <c r="X51" i="39"/>
  <c r="W51" i="39"/>
  <c r="U51" i="39"/>
  <c r="T51" i="39"/>
  <c r="S51" i="39"/>
  <c r="R51" i="39"/>
  <c r="P51" i="39"/>
  <c r="O51" i="39"/>
  <c r="N51" i="39"/>
  <c r="M51" i="39"/>
  <c r="K51" i="39"/>
  <c r="J51" i="39"/>
  <c r="I51" i="39"/>
  <c r="I41" i="39" s="1"/>
  <c r="H51" i="39"/>
  <c r="F51" i="39"/>
  <c r="E51" i="39"/>
  <c r="D51" i="39"/>
  <c r="C51" i="39"/>
  <c r="AA50" i="39"/>
  <c r="V50" i="39"/>
  <c r="Q50" i="39"/>
  <c r="L50" i="39"/>
  <c r="G50" i="39"/>
  <c r="AD49" i="39"/>
  <c r="AD42" i="39" s="1"/>
  <c r="AA49" i="39"/>
  <c r="V49" i="39"/>
  <c r="Q49" i="39"/>
  <c r="L49" i="39"/>
  <c r="G49" i="39"/>
  <c r="AG48" i="39"/>
  <c r="AH48" i="39" s="1"/>
  <c r="AI48" i="39" s="1"/>
  <c r="AJ48" i="39" s="1"/>
  <c r="AK48" i="39" s="1"/>
  <c r="AL48" i="39" s="1"/>
  <c r="AM48" i="39" s="1"/>
  <c r="AN48" i="39" s="1"/>
  <c r="AO48" i="39" s="1"/>
  <c r="AP48" i="39" s="1"/>
  <c r="AQ48" i="39" s="1"/>
  <c r="AR48" i="39" s="1"/>
  <c r="AS48" i="39" s="1"/>
  <c r="AT48" i="39" s="1"/>
  <c r="AU48" i="39" s="1"/>
  <c r="AV48" i="39" s="1"/>
  <c r="AW48" i="39" s="1"/>
  <c r="AX48" i="39" s="1"/>
  <c r="AY48" i="39" s="1"/>
  <c r="AZ48" i="39" s="1"/>
  <c r="BA48" i="39" s="1"/>
  <c r="BB48" i="39" s="1"/>
  <c r="BC48" i="39" s="1"/>
  <c r="BD48" i="39" s="1"/>
  <c r="BE48" i="39" s="1"/>
  <c r="BF48" i="39" s="1"/>
  <c r="BG48" i="39" s="1"/>
  <c r="BH48" i="39" s="1"/>
  <c r="BI48" i="39" s="1"/>
  <c r="BJ48" i="39" s="1"/>
  <c r="BK48" i="39" s="1"/>
  <c r="BL48" i="39" s="1"/>
  <c r="BM48" i="39" s="1"/>
  <c r="BN48" i="39" s="1"/>
  <c r="BO48" i="39" s="1"/>
  <c r="BP48" i="39" s="1"/>
  <c r="BQ48" i="39" s="1"/>
  <c r="BR48" i="39" s="1"/>
  <c r="BS48" i="39" s="1"/>
  <c r="BT48" i="39" s="1"/>
  <c r="BU48" i="39" s="1"/>
  <c r="BV48" i="39" s="1"/>
  <c r="BW48" i="39" s="1"/>
  <c r="AA48" i="39"/>
  <c r="V48" i="39"/>
  <c r="AD47" i="39"/>
  <c r="AA47" i="39"/>
  <c r="V47" i="39"/>
  <c r="Q47" i="39"/>
  <c r="L47" i="39"/>
  <c r="G47" i="39"/>
  <c r="AG46" i="39"/>
  <c r="AH46" i="39" s="1"/>
  <c r="AI46" i="39" s="1"/>
  <c r="AA46" i="39"/>
  <c r="V46" i="39"/>
  <c r="Q46" i="39"/>
  <c r="L46" i="39"/>
  <c r="G46" i="39"/>
  <c r="AA44" i="39"/>
  <c r="V44" i="39"/>
  <c r="Q44" i="39"/>
  <c r="L44" i="39"/>
  <c r="G44" i="39"/>
  <c r="AG43" i="39"/>
  <c r="AH43" i="39" s="1"/>
  <c r="AI43" i="39" s="1"/>
  <c r="AJ43" i="39" s="1"/>
  <c r="AK43" i="39" s="1"/>
  <c r="AL43" i="39" s="1"/>
  <c r="AM43" i="39" s="1"/>
  <c r="AN43" i="39" s="1"/>
  <c r="AO43" i="39" s="1"/>
  <c r="AP43" i="39" s="1"/>
  <c r="AQ43" i="39" s="1"/>
  <c r="AR43" i="39" s="1"/>
  <c r="AS43" i="39" s="1"/>
  <c r="AT43" i="39" s="1"/>
  <c r="AU43" i="39" s="1"/>
  <c r="AV43" i="39" s="1"/>
  <c r="AW43" i="39" s="1"/>
  <c r="AX43" i="39" s="1"/>
  <c r="AY43" i="39" s="1"/>
  <c r="AZ43" i="39" s="1"/>
  <c r="BA43" i="39" s="1"/>
  <c r="BB43" i="39" s="1"/>
  <c r="BC43" i="39" s="1"/>
  <c r="BD43" i="39" s="1"/>
  <c r="BE43" i="39" s="1"/>
  <c r="BF43" i="39" s="1"/>
  <c r="BG43" i="39" s="1"/>
  <c r="BH43" i="39" s="1"/>
  <c r="BI43" i="39" s="1"/>
  <c r="AA43" i="39"/>
  <c r="V43" i="39"/>
  <c r="Q43" i="39"/>
  <c r="L43" i="39"/>
  <c r="G43" i="39"/>
  <c r="AE42" i="39"/>
  <c r="AF42" i="39" s="1"/>
  <c r="AC42" i="39"/>
  <c r="AB42" i="39"/>
  <c r="Z42" i="39"/>
  <c r="Y42" i="39"/>
  <c r="X42" i="39"/>
  <c r="W42" i="39"/>
  <c r="U42" i="39"/>
  <c r="T42" i="39"/>
  <c r="T41" i="39" s="1"/>
  <c r="S42" i="39"/>
  <c r="R42" i="39"/>
  <c r="P42" i="39"/>
  <c r="O42" i="39"/>
  <c r="N42" i="39"/>
  <c r="M42" i="39"/>
  <c r="K42" i="39"/>
  <c r="J42" i="39"/>
  <c r="I42" i="39"/>
  <c r="H42" i="39"/>
  <c r="F42" i="39"/>
  <c r="E42" i="39"/>
  <c r="D42" i="39"/>
  <c r="D41" i="39" s="1"/>
  <c r="C42" i="39"/>
  <c r="Y41" i="39"/>
  <c r="N41" i="39"/>
  <c r="AA32" i="39"/>
  <c r="V32" i="39"/>
  <c r="Q32" i="39"/>
  <c r="L32" i="39"/>
  <c r="G32" i="39"/>
  <c r="AD31" i="39"/>
  <c r="AA31" i="39"/>
  <c r="V31" i="39"/>
  <c r="Q31" i="39"/>
  <c r="L31" i="39"/>
  <c r="G31" i="39"/>
  <c r="AA30" i="39"/>
  <c r="V30" i="39"/>
  <c r="AG29" i="39"/>
  <c r="AH29" i="39" s="1"/>
  <c r="AI29" i="39" s="1"/>
  <c r="AJ29" i="39" s="1"/>
  <c r="AK29" i="39" s="1"/>
  <c r="AL29" i="39" s="1"/>
  <c r="AM29" i="39" s="1"/>
  <c r="AN29" i="39" s="1"/>
  <c r="AO29" i="39" s="1"/>
  <c r="AP29" i="39" s="1"/>
  <c r="AQ29" i="39" s="1"/>
  <c r="AR29" i="39" s="1"/>
  <c r="AS29" i="39" s="1"/>
  <c r="AT29" i="39" s="1"/>
  <c r="AU29" i="39" s="1"/>
  <c r="AV29" i="39" s="1"/>
  <c r="AW29" i="39" s="1"/>
  <c r="AX29" i="39" s="1"/>
  <c r="AY29" i="39" s="1"/>
  <c r="AZ29" i="39" s="1"/>
  <c r="BA29" i="39" s="1"/>
  <c r="BB29" i="39" s="1"/>
  <c r="BC29" i="39" s="1"/>
  <c r="BD29" i="39" s="1"/>
  <c r="BE29" i="39" s="1"/>
  <c r="BF29" i="39" s="1"/>
  <c r="BG29" i="39" s="1"/>
  <c r="BH29" i="39" s="1"/>
  <c r="BI29" i="39" s="1"/>
  <c r="BJ29" i="39" s="1"/>
  <c r="BK29" i="39" s="1"/>
  <c r="BL29" i="39" s="1"/>
  <c r="BM29" i="39" s="1"/>
  <c r="BN29" i="39" s="1"/>
  <c r="BO29" i="39" s="1"/>
  <c r="BP29" i="39" s="1"/>
  <c r="BQ29" i="39" s="1"/>
  <c r="BR29" i="39" s="1"/>
  <c r="BS29" i="39" s="1"/>
  <c r="BT29" i="39" s="1"/>
  <c r="BU29" i="39" s="1"/>
  <c r="BV29" i="39" s="1"/>
  <c r="BW29" i="39" s="1"/>
  <c r="AD29" i="39"/>
  <c r="AA29" i="39"/>
  <c r="V29" i="39"/>
  <c r="Q29" i="39"/>
  <c r="Q28" i="39" s="1"/>
  <c r="Q36" i="39" s="1"/>
  <c r="L29" i="39"/>
  <c r="G29" i="39"/>
  <c r="AE28" i="39"/>
  <c r="AF28" i="39" s="1"/>
  <c r="AC28" i="39"/>
  <c r="AC36" i="39" s="1"/>
  <c r="AB28" i="39"/>
  <c r="AB36" i="39" s="1"/>
  <c r="Z28" i="39"/>
  <c r="Y28" i="39"/>
  <c r="Y36" i="39" s="1"/>
  <c r="X28" i="39"/>
  <c r="X36" i="39" s="1"/>
  <c r="W28" i="39"/>
  <c r="W36" i="39" s="1"/>
  <c r="U28" i="39"/>
  <c r="U36" i="39" s="1"/>
  <c r="T28" i="39"/>
  <c r="T36" i="39" s="1"/>
  <c r="S28" i="39"/>
  <c r="S36" i="39" s="1"/>
  <c r="R28" i="39"/>
  <c r="P28" i="39"/>
  <c r="P36" i="39" s="1"/>
  <c r="O28" i="39"/>
  <c r="O36" i="39" s="1"/>
  <c r="N28" i="39"/>
  <c r="N36" i="39" s="1"/>
  <c r="M28" i="39"/>
  <c r="M36" i="39" s="1"/>
  <c r="K28" i="39"/>
  <c r="K36" i="39" s="1"/>
  <c r="J28" i="39"/>
  <c r="I28" i="39"/>
  <c r="I36" i="39" s="1"/>
  <c r="H28" i="39"/>
  <c r="H36" i="39" s="1"/>
  <c r="F28" i="39"/>
  <c r="F36" i="39" s="1"/>
  <c r="E28" i="39"/>
  <c r="E36" i="39" s="1"/>
  <c r="D28" i="39"/>
  <c r="D36" i="39" s="1"/>
  <c r="C28" i="39"/>
  <c r="C36" i="39" s="1"/>
  <c r="AG27" i="39"/>
  <c r="AH27" i="39" s="1"/>
  <c r="AI27" i="39" s="1"/>
  <c r="AJ27" i="39" s="1"/>
  <c r="AK27" i="39" s="1"/>
  <c r="AL27" i="39" s="1"/>
  <c r="AM27" i="39" s="1"/>
  <c r="AN27" i="39" s="1"/>
  <c r="AO27" i="39" s="1"/>
  <c r="AP27" i="39" s="1"/>
  <c r="AQ27" i="39" s="1"/>
  <c r="AR27" i="39" s="1"/>
  <c r="AS27" i="39" s="1"/>
  <c r="AT27" i="39" s="1"/>
  <c r="AU27" i="39" s="1"/>
  <c r="AV27" i="39" s="1"/>
  <c r="AW27" i="39" s="1"/>
  <c r="AX27" i="39" s="1"/>
  <c r="AY27" i="39" s="1"/>
  <c r="AZ27" i="39" s="1"/>
  <c r="BA27" i="39" s="1"/>
  <c r="BB27" i="39" s="1"/>
  <c r="BC27" i="39" s="1"/>
  <c r="BD27" i="39" s="1"/>
  <c r="BE27" i="39" s="1"/>
  <c r="BF27" i="39" s="1"/>
  <c r="BG27" i="39" s="1"/>
  <c r="BH27" i="39" s="1"/>
  <c r="BI27" i="39" s="1"/>
  <c r="BJ27" i="39" s="1"/>
  <c r="BK27" i="39" s="1"/>
  <c r="BL27" i="39" s="1"/>
  <c r="BM27" i="39" s="1"/>
  <c r="BN27" i="39" s="1"/>
  <c r="BO27" i="39" s="1"/>
  <c r="BP27" i="39" s="1"/>
  <c r="BQ27" i="39" s="1"/>
  <c r="BR27" i="39" s="1"/>
  <c r="BS27" i="39" s="1"/>
  <c r="BT27" i="39" s="1"/>
  <c r="BU27" i="39" s="1"/>
  <c r="BV27" i="39" s="1"/>
  <c r="BW27" i="39" s="1"/>
  <c r="AD27" i="39"/>
  <c r="AA27" i="39"/>
  <c r="V27" i="39"/>
  <c r="Q27" i="39"/>
  <c r="L27" i="39"/>
  <c r="G27" i="39"/>
  <c r="AA26" i="39"/>
  <c r="V26" i="39"/>
  <c r="Q26" i="39"/>
  <c r="L26" i="39"/>
  <c r="G26" i="39"/>
  <c r="AG25" i="39"/>
  <c r="AA25" i="39"/>
  <c r="V25" i="39"/>
  <c r="Q25" i="39"/>
  <c r="L25" i="39"/>
  <c r="G25" i="39"/>
  <c r="AD23" i="39"/>
  <c r="AD71" i="39" s="1"/>
  <c r="AA23" i="39"/>
  <c r="V23" i="39"/>
  <c r="Q23" i="39"/>
  <c r="L23" i="39"/>
  <c r="G23" i="39"/>
  <c r="AA21" i="39"/>
  <c r="AA71" i="39" s="1"/>
  <c r="V21" i="39"/>
  <c r="Q21" i="39"/>
  <c r="L21" i="39"/>
  <c r="L71" i="39" s="1"/>
  <c r="G21" i="39"/>
  <c r="V19" i="39"/>
  <c r="Q19" i="39"/>
  <c r="L19" i="39"/>
  <c r="G19" i="39"/>
  <c r="AA17" i="39"/>
  <c r="AA15" i="36" s="1"/>
  <c r="V17" i="39"/>
  <c r="Q17" i="39"/>
  <c r="L17" i="39"/>
  <c r="G17" i="39"/>
  <c r="AE16" i="39"/>
  <c r="AF16" i="39" s="1"/>
  <c r="AC16" i="39"/>
  <c r="AC35" i="39" s="1"/>
  <c r="AB16" i="39"/>
  <c r="AB35" i="39" s="1"/>
  <c r="Z16" i="39"/>
  <c r="Z35" i="39" s="1"/>
  <c r="Y16" i="39"/>
  <c r="Y35" i="39" s="1"/>
  <c r="X16" i="39"/>
  <c r="X35" i="39" s="1"/>
  <c r="W16" i="39"/>
  <c r="W15" i="39" s="1"/>
  <c r="U16" i="39"/>
  <c r="U35" i="39" s="1"/>
  <c r="T16" i="39"/>
  <c r="T35" i="39" s="1"/>
  <c r="S16" i="39"/>
  <c r="S35" i="39" s="1"/>
  <c r="R16" i="39"/>
  <c r="R35" i="39" s="1"/>
  <c r="P16" i="39"/>
  <c r="P35" i="39" s="1"/>
  <c r="O16" i="39"/>
  <c r="O15" i="39" s="1"/>
  <c r="N16" i="39"/>
  <c r="N15" i="39" s="1"/>
  <c r="M16" i="39"/>
  <c r="M35" i="39" s="1"/>
  <c r="K16" i="39"/>
  <c r="K35" i="39" s="1"/>
  <c r="J16" i="39"/>
  <c r="J35" i="39" s="1"/>
  <c r="I16" i="39"/>
  <c r="I35" i="39" s="1"/>
  <c r="H16" i="39"/>
  <c r="H35" i="39" s="1"/>
  <c r="F16" i="39"/>
  <c r="F15" i="39" s="1"/>
  <c r="E16" i="39"/>
  <c r="E35" i="39" s="1"/>
  <c r="D16" i="39"/>
  <c r="D35" i="39" s="1"/>
  <c r="C16" i="39"/>
  <c r="C35" i="39" s="1"/>
  <c r="S15" i="39"/>
  <c r="S34" i="39" s="1"/>
  <c r="M15" i="39"/>
  <c r="M34" i="39" s="1"/>
  <c r="E15" i="39"/>
  <c r="E34" i="39" s="1"/>
  <c r="C15" i="39"/>
  <c r="C34" i="39" s="1"/>
  <c r="AF9" i="39"/>
  <c r="Q9" i="39"/>
  <c r="AC5" i="39"/>
  <c r="W5" i="39"/>
  <c r="C5" i="39"/>
  <c r="AE44" i="36"/>
  <c r="AD44" i="36"/>
  <c r="AC44" i="36"/>
  <c r="AB44" i="36"/>
  <c r="AE43" i="36"/>
  <c r="AD43" i="36"/>
  <c r="AC43" i="36"/>
  <c r="AF37" i="36"/>
  <c r="AF36" i="36"/>
  <c r="AE35" i="36"/>
  <c r="AD35" i="36"/>
  <c r="AC35" i="36"/>
  <c r="AB35" i="36"/>
  <c r="AA35" i="36"/>
  <c r="V35" i="36"/>
  <c r="Q35" i="36"/>
  <c r="L35" i="36"/>
  <c r="G35" i="36"/>
  <c r="G26" i="36" s="1"/>
  <c r="AD34" i="36"/>
  <c r="AC34" i="36"/>
  <c r="AD26" i="36"/>
  <c r="AC26" i="36"/>
  <c r="V26" i="36"/>
  <c r="L26" i="36"/>
  <c r="AF16" i="36"/>
  <c r="Q16" i="36"/>
  <c r="Q26" i="36" s="1"/>
  <c r="L16" i="36"/>
  <c r="G16" i="36"/>
  <c r="AD15" i="36"/>
  <c r="AC15" i="36"/>
  <c r="AB15" i="36"/>
  <c r="AM5" i="36"/>
  <c r="AM6" i="40" s="1"/>
  <c r="AL5" i="36"/>
  <c r="AL6" i="40" s="1"/>
  <c r="AK5" i="36"/>
  <c r="AK6" i="40" s="1"/>
  <c r="AJ5" i="36"/>
  <c r="AJ6" i="40" s="1"/>
  <c r="AI5" i="36"/>
  <c r="AI6" i="40" s="1"/>
  <c r="AH5" i="36"/>
  <c r="AH6" i="40" s="1"/>
  <c r="AG5" i="36"/>
  <c r="AG6" i="40" s="1"/>
  <c r="AG1" i="36"/>
  <c r="AG6" i="36" s="1"/>
  <c r="AE1" i="36"/>
  <c r="AD1" i="36"/>
  <c r="AC1" i="36"/>
  <c r="AB1" i="36"/>
  <c r="AA1" i="36"/>
  <c r="Z1" i="36"/>
  <c r="Y1" i="36"/>
  <c r="X1" i="36"/>
  <c r="W1" i="36"/>
  <c r="V1" i="36"/>
  <c r="U1" i="36"/>
  <c r="T1" i="36"/>
  <c r="S1" i="36"/>
  <c r="R1" i="36"/>
  <c r="Q1" i="36"/>
  <c r="P1" i="36"/>
  <c r="O1" i="36"/>
  <c r="N1" i="36"/>
  <c r="M1" i="36"/>
  <c r="L1" i="36"/>
  <c r="K1" i="36"/>
  <c r="J1" i="36"/>
  <c r="I1" i="36"/>
  <c r="H1" i="36"/>
  <c r="G1" i="36"/>
  <c r="F1" i="36"/>
  <c r="E1" i="36"/>
  <c r="D1" i="36"/>
  <c r="C1" i="36"/>
  <c r="BW12" i="37"/>
  <c r="BW13" i="37" s="1"/>
  <c r="AM7" i="37"/>
  <c r="AL7" i="37"/>
  <c r="AK7" i="37"/>
  <c r="AJ7" i="37"/>
  <c r="AI7" i="37"/>
  <c r="AH7" i="37"/>
  <c r="AG7" i="37"/>
  <c r="AF7" i="37"/>
  <c r="AD6" i="37"/>
  <c r="AC6" i="37"/>
  <c r="AB6" i="37"/>
  <c r="AG1" i="37"/>
  <c r="B110" i="54" s="1"/>
  <c r="BW7" i="12"/>
  <c r="BV7" i="12"/>
  <c r="BU7" i="12"/>
  <c r="BT7" i="12"/>
  <c r="BS7" i="12"/>
  <c r="BR7" i="12"/>
  <c r="BQ7" i="12"/>
  <c r="BP7" i="12"/>
  <c r="BO7" i="12"/>
  <c r="BN7" i="12"/>
  <c r="BM7" i="12"/>
  <c r="BL7" i="12"/>
  <c r="BK7" i="12"/>
  <c r="BJ7" i="12"/>
  <c r="BI7" i="12"/>
  <c r="BH7" i="12"/>
  <c r="BG7" i="12"/>
  <c r="BF7" i="12"/>
  <c r="BE7" i="12"/>
  <c r="BD7" i="12"/>
  <c r="BC7" i="12"/>
  <c r="BB7" i="12"/>
  <c r="BA7" i="12"/>
  <c r="AZ7" i="12"/>
  <c r="AY7" i="12"/>
  <c r="AX7" i="12"/>
  <c r="AW7" i="12"/>
  <c r="AV7" i="12"/>
  <c r="AU7" i="12"/>
  <c r="AT7" i="12"/>
  <c r="AS7" i="12"/>
  <c r="AR7" i="12"/>
  <c r="AQ7" i="12"/>
  <c r="AP7" i="12"/>
  <c r="AO7" i="12"/>
  <c r="AN7" i="12"/>
  <c r="AM7" i="12"/>
  <c r="AL7" i="12"/>
  <c r="AK7" i="12"/>
  <c r="AJ7" i="12"/>
  <c r="AI7" i="12"/>
  <c r="AH7" i="12"/>
  <c r="AG7" i="12"/>
  <c r="AB5" i="12"/>
  <c r="AA5" i="12"/>
  <c r="Z5" i="12"/>
  <c r="AH1" i="12"/>
  <c r="AG1" i="12"/>
  <c r="W40" i="8"/>
  <c r="AF33" i="8"/>
  <c r="AF5" i="12" s="1"/>
  <c r="AE33" i="8"/>
  <c r="AD33" i="8"/>
  <c r="AD5" i="12" s="1"/>
  <c r="AC33" i="8"/>
  <c r="AC5" i="12" s="1"/>
  <c r="AB33" i="8"/>
  <c r="AA33" i="8"/>
  <c r="Z33" i="8"/>
  <c r="Y33" i="8"/>
  <c r="Y5" i="12" s="1"/>
  <c r="X33" i="8"/>
  <c r="X5" i="12" s="1"/>
  <c r="W33" i="8"/>
  <c r="V33" i="8"/>
  <c r="V5" i="12" s="1"/>
  <c r="Z32" i="8"/>
  <c r="H32" i="8"/>
  <c r="H39" i="8" s="1"/>
  <c r="AE30" i="8"/>
  <c r="AD30" i="8"/>
  <c r="AF30" i="8" s="1"/>
  <c r="AC30" i="8"/>
  <c r="AB30" i="8"/>
  <c r="AA30" i="8"/>
  <c r="Z30" i="8"/>
  <c r="Y30" i="8"/>
  <c r="X30" i="8"/>
  <c r="W30" i="8"/>
  <c r="V30" i="8"/>
  <c r="U30" i="8"/>
  <c r="T30" i="8"/>
  <c r="S30" i="8"/>
  <c r="R30" i="8"/>
  <c r="Q30" i="8"/>
  <c r="Q26" i="8" s="1"/>
  <c r="P30" i="8"/>
  <c r="O30" i="8"/>
  <c r="N30" i="8"/>
  <c r="M30" i="8"/>
  <c r="L30" i="8"/>
  <c r="K30" i="8"/>
  <c r="J30" i="8"/>
  <c r="I30" i="8"/>
  <c r="I26" i="8" s="1"/>
  <c r="H30" i="8"/>
  <c r="G30" i="8"/>
  <c r="F30" i="8"/>
  <c r="E30" i="8"/>
  <c r="D30" i="8"/>
  <c r="C30" i="8"/>
  <c r="AE29" i="8"/>
  <c r="AE26" i="8" s="1"/>
  <c r="AD29" i="8"/>
  <c r="AC29" i="8"/>
  <c r="AB29" i="8"/>
  <c r="AA29" i="8"/>
  <c r="Z29" i="8"/>
  <c r="Y29" i="8"/>
  <c r="X29" i="8"/>
  <c r="X26" i="8" s="1"/>
  <c r="W29" i="8"/>
  <c r="W26" i="8" s="1"/>
  <c r="V29" i="8"/>
  <c r="U29" i="8"/>
  <c r="T29" i="8"/>
  <c r="S29" i="8"/>
  <c r="R29" i="8"/>
  <c r="Q29" i="8"/>
  <c r="P29" i="8"/>
  <c r="P26" i="8" s="1"/>
  <c r="O29" i="8"/>
  <c r="O26" i="8" s="1"/>
  <c r="N29" i="8"/>
  <c r="M29" i="8"/>
  <c r="L29" i="8"/>
  <c r="K29" i="8"/>
  <c r="J29" i="8"/>
  <c r="I29" i="8"/>
  <c r="H29" i="8"/>
  <c r="G29" i="8"/>
  <c r="G26" i="8" s="1"/>
  <c r="G11" i="40" s="1"/>
  <c r="G10" i="39" s="1"/>
  <c r="F29" i="8"/>
  <c r="E29" i="8"/>
  <c r="D29" i="8"/>
  <c r="C29" i="8"/>
  <c r="AE28" i="8"/>
  <c r="AD28" i="8"/>
  <c r="AD26" i="8" s="1"/>
  <c r="AC28" i="8"/>
  <c r="AC26" i="8" s="1"/>
  <c r="AB28" i="8"/>
  <c r="AA28" i="8"/>
  <c r="Z28" i="8"/>
  <c r="Y28" i="8"/>
  <c r="X28" i="8"/>
  <c r="W28" i="8"/>
  <c r="V28" i="8"/>
  <c r="V26" i="8" s="1"/>
  <c r="U28" i="8"/>
  <c r="U26" i="8" s="1"/>
  <c r="T28" i="8"/>
  <c r="S28" i="8"/>
  <c r="R28" i="8"/>
  <c r="Q28" i="8"/>
  <c r="P28" i="8"/>
  <c r="O28" i="8"/>
  <c r="N28" i="8"/>
  <c r="N26" i="8" s="1"/>
  <c r="M28" i="8"/>
  <c r="M26" i="8" s="1"/>
  <c r="L28" i="8"/>
  <c r="K28" i="8"/>
  <c r="J28" i="8"/>
  <c r="I28" i="8"/>
  <c r="H28" i="8"/>
  <c r="G28" i="8"/>
  <c r="F28" i="8"/>
  <c r="F26" i="8" s="1"/>
  <c r="F11" i="40" s="1"/>
  <c r="F10" i="39" s="1"/>
  <c r="E28" i="8"/>
  <c r="E26" i="8" s="1"/>
  <c r="E11" i="40" s="1"/>
  <c r="E10" i="39" s="1"/>
  <c r="D28" i="8"/>
  <c r="C28" i="8"/>
  <c r="AE27" i="8"/>
  <c r="AD27" i="8"/>
  <c r="AC27" i="8"/>
  <c r="AB27" i="8"/>
  <c r="AA27" i="8"/>
  <c r="AA26" i="8" s="1"/>
  <c r="Z27" i="8"/>
  <c r="Y27" i="8"/>
  <c r="X27" i="8"/>
  <c r="W27" i="8"/>
  <c r="V27" i="8"/>
  <c r="U27" i="8"/>
  <c r="T27" i="8"/>
  <c r="S27" i="8"/>
  <c r="S26" i="8" s="1"/>
  <c r="R27" i="8"/>
  <c r="R26" i="8" s="1"/>
  <c r="Q27" i="8"/>
  <c r="P27" i="8"/>
  <c r="O27" i="8"/>
  <c r="N27" i="8"/>
  <c r="M27" i="8"/>
  <c r="L27" i="8"/>
  <c r="K27" i="8"/>
  <c r="K26" i="8" s="1"/>
  <c r="J27" i="8"/>
  <c r="J26" i="8" s="1"/>
  <c r="I27" i="8"/>
  <c r="H27" i="8"/>
  <c r="G27" i="8"/>
  <c r="F27" i="8"/>
  <c r="E27" i="8"/>
  <c r="D27" i="8"/>
  <c r="C27" i="8"/>
  <c r="C26" i="8" s="1"/>
  <c r="C11" i="40" s="1"/>
  <c r="C10" i="39" s="1"/>
  <c r="Z26" i="8"/>
  <c r="Z11" i="40" s="1"/>
  <c r="Z10" i="39" s="1"/>
  <c r="Y26" i="8"/>
  <c r="Y11" i="40" s="1"/>
  <c r="Y10" i="39" s="1"/>
  <c r="H26" i="8"/>
  <c r="H11" i="40" s="1"/>
  <c r="H10" i="39" s="1"/>
  <c r="AF17" i="8"/>
  <c r="AF7" i="36" s="1"/>
  <c r="AE17" i="8"/>
  <c r="AE7" i="36" s="1"/>
  <c r="AE6" i="37" s="1"/>
  <c r="AD17" i="8"/>
  <c r="AD9" i="40" s="1"/>
  <c r="AC17" i="8"/>
  <c r="AC9" i="40" s="1"/>
  <c r="AB17" i="8"/>
  <c r="AB9" i="40" s="1"/>
  <c r="AA17" i="8"/>
  <c r="AA9" i="40" s="1"/>
  <c r="Z17" i="8"/>
  <c r="Z9" i="40" s="1"/>
  <c r="Y17" i="8"/>
  <c r="X17" i="8"/>
  <c r="X9" i="40" s="1"/>
  <c r="W17" i="8"/>
  <c r="W9" i="40" s="1"/>
  <c r="V17" i="8"/>
  <c r="V9" i="40" s="1"/>
  <c r="U17" i="8"/>
  <c r="U9" i="40" s="1"/>
  <c r="T17" i="8"/>
  <c r="T9" i="40" s="1"/>
  <c r="S17" i="8"/>
  <c r="S9" i="40" s="1"/>
  <c r="R17" i="8"/>
  <c r="R9" i="40" s="1"/>
  <c r="Q17" i="8"/>
  <c r="Q9" i="40" s="1"/>
  <c r="P17" i="8"/>
  <c r="P9" i="40" s="1"/>
  <c r="O17" i="8"/>
  <c r="O9" i="40" s="1"/>
  <c r="N17" i="8"/>
  <c r="N9" i="40" s="1"/>
  <c r="M17" i="8"/>
  <c r="M9" i="40" s="1"/>
  <c r="L17" i="8"/>
  <c r="L9" i="40" s="1"/>
  <c r="K17" i="8"/>
  <c r="K9" i="40" s="1"/>
  <c r="J17" i="8"/>
  <c r="J9" i="40" s="1"/>
  <c r="I17" i="8"/>
  <c r="I9" i="40" s="1"/>
  <c r="H17" i="8"/>
  <c r="G17" i="8"/>
  <c r="G9" i="40" s="1"/>
  <c r="F17" i="8"/>
  <c r="F9" i="40" s="1"/>
  <c r="E17" i="8"/>
  <c r="E9" i="40" s="1"/>
  <c r="D17" i="8"/>
  <c r="D9" i="40" s="1"/>
  <c r="C17" i="8"/>
  <c r="C9" i="40" s="1"/>
  <c r="AF15" i="8"/>
  <c r="AE15" i="8"/>
  <c r="X15" i="8"/>
  <c r="W15" i="8"/>
  <c r="P15" i="8"/>
  <c r="O15" i="8"/>
  <c r="H15" i="8"/>
  <c r="AF14" i="8"/>
  <c r="AE14" i="8"/>
  <c r="AD14" i="8"/>
  <c r="AC14" i="8"/>
  <c r="AC15" i="8" s="1"/>
  <c r="AB14" i="8"/>
  <c r="AB15" i="8" s="1"/>
  <c r="AA14" i="8"/>
  <c r="AA15" i="8" s="1"/>
  <c r="Z14" i="8"/>
  <c r="Z15" i="8" s="1"/>
  <c r="Y14" i="8"/>
  <c r="Y15" i="8" s="1"/>
  <c r="X14" i="8"/>
  <c r="W14" i="8"/>
  <c r="V14" i="8"/>
  <c r="U14" i="8"/>
  <c r="U15" i="8" s="1"/>
  <c r="T14" i="8"/>
  <c r="T15" i="8" s="1"/>
  <c r="S14" i="8"/>
  <c r="S15" i="8" s="1"/>
  <c r="R14" i="8"/>
  <c r="R15" i="8" s="1"/>
  <c r="Q14" i="8"/>
  <c r="Q15" i="8" s="1"/>
  <c r="P14" i="8"/>
  <c r="O14" i="8"/>
  <c r="N14" i="8"/>
  <c r="M14" i="8"/>
  <c r="M15" i="8" s="1"/>
  <c r="L14" i="8"/>
  <c r="L15" i="8" s="1"/>
  <c r="K14" i="8"/>
  <c r="K15" i="8" s="1"/>
  <c r="J14" i="8"/>
  <c r="J15" i="8" s="1"/>
  <c r="I14" i="8"/>
  <c r="I15" i="8" s="1"/>
  <c r="H14" i="8"/>
  <c r="AF13" i="8"/>
  <c r="AE13" i="8"/>
  <c r="AD13" i="8"/>
  <c r="AD15" i="8" s="1"/>
  <c r="AC13" i="8"/>
  <c r="AB13" i="8"/>
  <c r="AA13" i="8"/>
  <c r="Z13" i="8"/>
  <c r="Y13" i="8"/>
  <c r="X13" i="8"/>
  <c r="W13" i="8"/>
  <c r="V13" i="8"/>
  <c r="V15" i="8" s="1"/>
  <c r="U13" i="8"/>
  <c r="T13" i="8"/>
  <c r="S13" i="8"/>
  <c r="R13" i="8"/>
  <c r="Q13" i="8"/>
  <c r="P13" i="8"/>
  <c r="O13" i="8"/>
  <c r="N13" i="8"/>
  <c r="N15" i="8" s="1"/>
  <c r="M13" i="8"/>
  <c r="L13" i="8"/>
  <c r="K13" i="8"/>
  <c r="J13" i="8"/>
  <c r="I13" i="8"/>
  <c r="H13" i="8"/>
  <c r="Y11" i="8"/>
  <c r="Q11" i="8"/>
  <c r="L11" i="8"/>
  <c r="Q10" i="8"/>
  <c r="Y9" i="8"/>
  <c r="Q9" i="8"/>
  <c r="Q8" i="8"/>
  <c r="AG1" i="8"/>
  <c r="AG17" i="8" s="1"/>
  <c r="AG7" i="36" s="1"/>
  <c r="AE1" i="8"/>
  <c r="AE1" i="12" s="1"/>
  <c r="AD1" i="8"/>
  <c r="AD1" i="12" s="1"/>
  <c r="AC1" i="8"/>
  <c r="AC1" i="12" s="1"/>
  <c r="AB1" i="8"/>
  <c r="AB1" i="12" s="1"/>
  <c r="AA1" i="8"/>
  <c r="AA1" i="12" s="1"/>
  <c r="C122" i="54" s="1"/>
  <c r="Z1" i="8"/>
  <c r="Z1" i="12" s="1"/>
  <c r="Y1" i="8"/>
  <c r="Y1" i="12" s="1"/>
  <c r="X1" i="8"/>
  <c r="X1" i="12" s="1"/>
  <c r="W1" i="8"/>
  <c r="W1" i="12" s="1"/>
  <c r="V1" i="8"/>
  <c r="V1" i="12" s="1"/>
  <c r="B122" i="54" s="1"/>
  <c r="U1" i="8"/>
  <c r="U1" i="12" s="1"/>
  <c r="T1" i="8"/>
  <c r="T1" i="12" s="1"/>
  <c r="S1" i="8"/>
  <c r="S1" i="12" s="1"/>
  <c r="R1" i="8"/>
  <c r="R1" i="12" s="1"/>
  <c r="Q1" i="8"/>
  <c r="Q1" i="12" s="1"/>
  <c r="P1" i="8"/>
  <c r="P1" i="12" s="1"/>
  <c r="O1" i="8"/>
  <c r="O1" i="12" s="1"/>
  <c r="N1" i="8"/>
  <c r="N1" i="12" s="1"/>
  <c r="M1" i="8"/>
  <c r="M1" i="12" s="1"/>
  <c r="L1" i="8"/>
  <c r="L1" i="12" s="1"/>
  <c r="K1" i="8"/>
  <c r="K1" i="12" s="1"/>
  <c r="J1" i="8"/>
  <c r="J1" i="12" s="1"/>
  <c r="I1" i="8"/>
  <c r="I1" i="12" s="1"/>
  <c r="H1" i="8"/>
  <c r="H1" i="12" s="1"/>
  <c r="G1" i="8"/>
  <c r="G1" i="12" s="1"/>
  <c r="F1" i="8"/>
  <c r="F1" i="12" s="1"/>
  <c r="E1" i="8"/>
  <c r="E1" i="12" s="1"/>
  <c r="D1" i="8"/>
  <c r="D1" i="12" s="1"/>
  <c r="C1" i="8"/>
  <c r="AI57" i="35"/>
  <c r="AH57" i="35"/>
  <c r="AG57" i="35"/>
  <c r="AI56" i="35"/>
  <c r="AH56" i="35"/>
  <c r="AG56" i="35"/>
  <c r="AI55" i="35"/>
  <c r="AH55" i="35"/>
  <c r="AG55" i="35"/>
  <c r="AI54" i="35"/>
  <c r="AH54" i="35"/>
  <c r="AG54" i="35"/>
  <c r="AI53" i="35"/>
  <c r="AH53" i="35"/>
  <c r="AG53" i="35"/>
  <c r="AI52" i="35"/>
  <c r="AH52" i="35"/>
  <c r="AG52" i="35"/>
  <c r="AI51" i="35"/>
  <c r="AH51" i="35"/>
  <c r="AG51" i="35"/>
  <c r="AI50" i="35"/>
  <c r="AH50" i="35"/>
  <c r="AG50" i="35"/>
  <c r="AI49" i="35"/>
  <c r="AH49" i="35"/>
  <c r="AG49" i="35"/>
  <c r="AI48" i="35"/>
  <c r="AH48" i="35"/>
  <c r="AG48" i="35"/>
  <c r="AI47" i="35"/>
  <c r="AH47" i="35"/>
  <c r="AG47" i="35"/>
  <c r="AI46" i="35"/>
  <c r="AH46" i="35"/>
  <c r="AG46" i="35"/>
  <c r="AI45" i="35"/>
  <c r="AH45" i="35"/>
  <c r="AG45" i="35"/>
  <c r="AI44" i="35"/>
  <c r="AH44" i="35"/>
  <c r="AG44" i="35"/>
  <c r="AI43" i="35"/>
  <c r="AH43" i="35"/>
  <c r="AG43" i="35"/>
  <c r="AI42" i="35"/>
  <c r="AH42" i="35"/>
  <c r="AG42" i="35"/>
  <c r="AI41" i="35"/>
  <c r="AH41" i="35"/>
  <c r="AG41" i="35"/>
  <c r="AI40" i="35"/>
  <c r="AH40" i="35"/>
  <c r="AG40" i="35"/>
  <c r="AI39" i="35"/>
  <c r="AH39" i="35"/>
  <c r="AG39" i="35"/>
  <c r="AI38" i="35"/>
  <c r="AH38" i="35"/>
  <c r="AG38" i="35"/>
  <c r="AI37" i="35"/>
  <c r="AH37" i="35"/>
  <c r="AG37" i="35"/>
  <c r="AI36" i="35"/>
  <c r="AH36" i="35"/>
  <c r="AG36" i="35"/>
  <c r="AI35" i="35"/>
  <c r="AH35" i="35"/>
  <c r="AG35" i="35"/>
  <c r="AI34" i="35"/>
  <c r="AH34" i="35"/>
  <c r="AG34" i="35"/>
  <c r="AI33" i="35"/>
  <c r="AH33" i="35"/>
  <c r="AG33" i="35"/>
  <c r="AI32" i="35"/>
  <c r="AH32" i="35"/>
  <c r="AG32" i="35"/>
  <c r="AI31" i="35"/>
  <c r="AH31" i="35"/>
  <c r="AG31" i="35"/>
  <c r="AI30" i="35"/>
  <c r="AH30" i="35"/>
  <c r="AG30" i="35"/>
  <c r="AI29" i="35"/>
  <c r="AH29" i="35"/>
  <c r="AG29" i="35"/>
  <c r="AI28" i="35"/>
  <c r="AH28" i="35"/>
  <c r="AG28" i="35"/>
  <c r="AI27" i="35"/>
  <c r="AH27" i="35"/>
  <c r="AG27" i="35"/>
  <c r="AI26" i="35"/>
  <c r="AH26" i="35"/>
  <c r="AG26" i="35"/>
  <c r="AI25" i="35"/>
  <c r="AH25" i="35"/>
  <c r="AG25" i="35"/>
  <c r="AI24" i="35"/>
  <c r="AH24" i="35"/>
  <c r="AG24" i="35"/>
  <c r="AI23" i="35"/>
  <c r="AH23" i="35"/>
  <c r="AG23" i="35"/>
  <c r="AI22" i="35"/>
  <c r="AH22" i="35"/>
  <c r="AG22" i="35"/>
  <c r="AI21" i="35"/>
  <c r="AH21" i="35"/>
  <c r="AG21" i="35"/>
  <c r="AI57" i="34"/>
  <c r="AH57" i="34"/>
  <c r="AG57" i="34"/>
  <c r="AI56" i="34"/>
  <c r="AH56" i="34"/>
  <c r="AG56" i="34"/>
  <c r="AI55" i="34"/>
  <c r="AH55" i="34"/>
  <c r="AG55" i="34"/>
  <c r="AI54" i="34"/>
  <c r="AH54" i="34"/>
  <c r="AG54" i="34"/>
  <c r="AI53" i="34"/>
  <c r="AH53" i="34"/>
  <c r="AG53" i="34"/>
  <c r="AI52" i="34"/>
  <c r="AH52" i="34"/>
  <c r="AG52" i="34"/>
  <c r="AI51" i="34"/>
  <c r="AH51" i="34"/>
  <c r="AG51" i="34"/>
  <c r="AI50" i="34"/>
  <c r="AH50" i="34"/>
  <c r="AG50" i="34"/>
  <c r="AI49" i="34"/>
  <c r="AH49" i="34"/>
  <c r="AG49" i="34"/>
  <c r="AI48" i="34"/>
  <c r="AH48" i="34"/>
  <c r="AG48" i="34"/>
  <c r="AI47" i="34"/>
  <c r="AH47" i="34"/>
  <c r="AG47" i="34"/>
  <c r="AI46" i="34"/>
  <c r="AH46" i="34"/>
  <c r="AG46" i="34"/>
  <c r="AI45" i="34"/>
  <c r="AH45" i="34"/>
  <c r="AG45" i="34"/>
  <c r="AI44" i="34"/>
  <c r="AH44" i="34"/>
  <c r="AG44" i="34"/>
  <c r="AI43" i="34"/>
  <c r="AH43" i="34"/>
  <c r="AG43" i="34"/>
  <c r="AI42" i="34"/>
  <c r="AH42" i="34"/>
  <c r="AG42" i="34"/>
  <c r="AI41" i="34"/>
  <c r="AH41" i="34"/>
  <c r="AG41" i="34"/>
  <c r="AI40" i="34"/>
  <c r="AH40" i="34"/>
  <c r="AG40" i="34"/>
  <c r="AI39" i="34"/>
  <c r="AH39" i="34"/>
  <c r="AG39" i="34"/>
  <c r="AI38" i="34"/>
  <c r="AH38" i="34"/>
  <c r="AG38" i="34"/>
  <c r="AI37" i="34"/>
  <c r="AH37" i="34"/>
  <c r="AG37" i="34"/>
  <c r="AI36" i="34"/>
  <c r="AH36" i="34"/>
  <c r="AG36" i="34"/>
  <c r="AI35" i="34"/>
  <c r="AH35" i="34"/>
  <c r="AG35" i="34"/>
  <c r="AI34" i="34"/>
  <c r="AH34" i="34"/>
  <c r="AG34" i="34"/>
  <c r="AI33" i="34"/>
  <c r="AH33" i="34"/>
  <c r="AG33" i="34"/>
  <c r="AI32" i="34"/>
  <c r="AH32" i="34"/>
  <c r="AG32" i="34"/>
  <c r="AI31" i="34"/>
  <c r="AH31" i="34"/>
  <c r="AG31" i="34"/>
  <c r="AI30" i="34"/>
  <c r="AH30" i="34"/>
  <c r="AG30" i="34"/>
  <c r="AI29" i="34"/>
  <c r="AH29" i="34"/>
  <c r="AG29" i="34"/>
  <c r="AI28" i="34"/>
  <c r="AH28" i="34"/>
  <c r="AG28" i="34"/>
  <c r="AI27" i="34"/>
  <c r="AH27" i="34"/>
  <c r="AG27" i="34"/>
  <c r="AI26" i="34"/>
  <c r="AH26" i="34"/>
  <c r="AG26" i="34"/>
  <c r="AI25" i="34"/>
  <c r="AH25" i="34"/>
  <c r="AG25" i="34"/>
  <c r="AI24" i="34"/>
  <c r="AH24" i="34"/>
  <c r="AG24" i="34"/>
  <c r="AI23" i="34"/>
  <c r="AH23" i="34"/>
  <c r="AG23" i="34"/>
  <c r="AI22" i="34"/>
  <c r="AH22" i="34"/>
  <c r="AG22" i="34"/>
  <c r="AI21" i="34"/>
  <c r="AH21" i="34"/>
  <c r="AG21" i="34"/>
  <c r="AI57" i="33"/>
  <c r="AH57" i="33"/>
  <c r="AG57" i="33"/>
  <c r="AI56" i="33"/>
  <c r="AH56" i="33"/>
  <c r="AG56" i="33"/>
  <c r="AI55" i="33"/>
  <c r="AH55" i="33"/>
  <c r="AG55" i="33"/>
  <c r="AI54" i="33"/>
  <c r="AH54" i="33"/>
  <c r="AG54" i="33"/>
  <c r="AI53" i="33"/>
  <c r="AH53" i="33"/>
  <c r="AG53" i="33"/>
  <c r="AI52" i="33"/>
  <c r="AH52" i="33"/>
  <c r="AG52" i="33"/>
  <c r="AI51" i="33"/>
  <c r="AH51" i="33"/>
  <c r="AG51" i="33"/>
  <c r="AI50" i="33"/>
  <c r="AH50" i="33"/>
  <c r="AG50" i="33"/>
  <c r="AI49" i="33"/>
  <c r="AH49" i="33"/>
  <c r="AG49" i="33"/>
  <c r="AI48" i="33"/>
  <c r="AH48" i="33"/>
  <c r="AG48" i="33"/>
  <c r="AI47" i="33"/>
  <c r="AH47" i="33"/>
  <c r="AG47" i="33"/>
  <c r="AI46" i="33"/>
  <c r="AH46" i="33"/>
  <c r="AG46" i="33"/>
  <c r="AI45" i="33"/>
  <c r="AH45" i="33"/>
  <c r="AG45" i="33"/>
  <c r="AI44" i="33"/>
  <c r="AH44" i="33"/>
  <c r="AG44" i="33"/>
  <c r="AI43" i="33"/>
  <c r="AH43" i="33"/>
  <c r="AG43" i="33"/>
  <c r="AI42" i="33"/>
  <c r="AH42" i="33"/>
  <c r="AG42" i="33"/>
  <c r="AI41" i="33"/>
  <c r="AH41" i="33"/>
  <c r="AG41" i="33"/>
  <c r="AI40" i="33"/>
  <c r="AH40" i="33"/>
  <c r="AG40" i="33"/>
  <c r="AI39" i="33"/>
  <c r="AH39" i="33"/>
  <c r="AG39" i="33"/>
  <c r="AI38" i="33"/>
  <c r="AH38" i="33"/>
  <c r="AG38" i="33"/>
  <c r="AI37" i="33"/>
  <c r="AH37" i="33"/>
  <c r="AG37" i="33"/>
  <c r="AI36" i="33"/>
  <c r="AH36" i="33"/>
  <c r="AG36" i="33"/>
  <c r="AI35" i="33"/>
  <c r="AH35" i="33"/>
  <c r="AG35" i="33"/>
  <c r="AI34" i="33"/>
  <c r="AH34" i="33"/>
  <c r="AG34" i="33"/>
  <c r="AI33" i="33"/>
  <c r="AH33" i="33"/>
  <c r="AG33" i="33"/>
  <c r="AI32" i="33"/>
  <c r="AH32" i="33"/>
  <c r="AG32" i="33"/>
  <c r="AI31" i="33"/>
  <c r="AH31" i="33"/>
  <c r="AG31" i="33"/>
  <c r="AI30" i="33"/>
  <c r="AH30" i="33"/>
  <c r="AG30" i="33"/>
  <c r="AI29" i="33"/>
  <c r="AH29" i="33"/>
  <c r="AG29" i="33"/>
  <c r="AI28" i="33"/>
  <c r="AH28" i="33"/>
  <c r="AG28" i="33"/>
  <c r="AI27" i="33"/>
  <c r="AH27" i="33"/>
  <c r="AG27" i="33"/>
  <c r="AI26" i="33"/>
  <c r="AH26" i="33"/>
  <c r="AG26" i="33"/>
  <c r="AI25" i="33"/>
  <c r="AH25" i="33"/>
  <c r="AG25" i="33"/>
  <c r="AI24" i="33"/>
  <c r="AH24" i="33"/>
  <c r="AG24" i="33"/>
  <c r="AI23" i="33"/>
  <c r="AH23" i="33"/>
  <c r="AG23" i="33"/>
  <c r="AI22" i="33"/>
  <c r="AH22" i="33"/>
  <c r="AG22" i="33"/>
  <c r="AI21" i="33"/>
  <c r="AH21" i="33"/>
  <c r="AG21" i="33"/>
  <c r="AH57" i="30"/>
  <c r="AG57" i="30"/>
  <c r="AH56" i="30"/>
  <c r="AG56" i="30"/>
  <c r="AH55" i="30"/>
  <c r="AG55" i="30"/>
  <c r="AH54" i="30"/>
  <c r="AG54" i="30"/>
  <c r="AH53" i="30"/>
  <c r="AG53" i="30"/>
  <c r="AH52" i="30"/>
  <c r="AG52" i="30"/>
  <c r="AH51" i="30"/>
  <c r="AG51" i="30"/>
  <c r="AH50" i="30"/>
  <c r="AG50" i="30"/>
  <c r="AH49" i="30"/>
  <c r="AG49" i="30"/>
  <c r="AH48" i="30"/>
  <c r="AG48" i="30"/>
  <c r="AH47" i="30"/>
  <c r="AG47" i="30"/>
  <c r="AH46" i="30"/>
  <c r="AG46" i="30"/>
  <c r="AH45" i="30"/>
  <c r="AG45" i="30"/>
  <c r="AH44" i="30"/>
  <c r="AG44" i="30"/>
  <c r="AH43" i="30"/>
  <c r="AG43" i="30"/>
  <c r="AH42" i="30"/>
  <c r="AG42" i="30"/>
  <c r="AH41" i="30"/>
  <c r="AG41" i="30"/>
  <c r="AH40" i="30"/>
  <c r="AG40" i="30"/>
  <c r="AH39" i="30"/>
  <c r="AG39" i="30"/>
  <c r="AH38" i="30"/>
  <c r="AG38" i="30"/>
  <c r="AH37" i="30"/>
  <c r="AG37" i="30"/>
  <c r="AH36" i="30"/>
  <c r="AG36" i="30"/>
  <c r="AH35" i="30"/>
  <c r="AG35" i="30"/>
  <c r="AH34" i="30"/>
  <c r="AG34" i="30"/>
  <c r="AH33" i="30"/>
  <c r="AG33" i="30"/>
  <c r="AH32" i="30"/>
  <c r="AG32" i="30"/>
  <c r="AH31" i="30"/>
  <c r="AG31" i="30"/>
  <c r="AH30" i="30"/>
  <c r="AG30" i="30"/>
  <c r="AH29" i="30"/>
  <c r="AG29" i="30"/>
  <c r="AH28" i="30"/>
  <c r="AG28" i="30"/>
  <c r="AH27" i="30"/>
  <c r="AG27" i="30"/>
  <c r="AH26" i="30"/>
  <c r="AG26" i="30"/>
  <c r="AH25" i="30"/>
  <c r="AG25" i="30"/>
  <c r="AH24" i="30"/>
  <c r="AG24" i="30"/>
  <c r="AH23" i="30"/>
  <c r="AG23" i="30"/>
  <c r="AH22" i="30"/>
  <c r="AG22" i="30"/>
  <c r="AH21" i="30"/>
  <c r="AG21" i="30"/>
  <c r="AH57" i="29"/>
  <c r="AG57" i="29"/>
  <c r="AH56" i="29"/>
  <c r="AG56" i="29"/>
  <c r="AH55" i="29"/>
  <c r="AG55" i="29"/>
  <c r="AH54" i="29"/>
  <c r="AG54" i="29"/>
  <c r="AH53" i="29"/>
  <c r="AG53" i="29"/>
  <c r="AH52" i="29"/>
  <c r="AG52" i="29"/>
  <c r="AH51" i="29"/>
  <c r="AG51" i="29"/>
  <c r="AH50" i="29"/>
  <c r="AG50" i="29"/>
  <c r="AH49" i="29"/>
  <c r="AG49" i="29"/>
  <c r="AH48" i="29"/>
  <c r="AG48" i="29"/>
  <c r="AH47" i="29"/>
  <c r="AG47" i="29"/>
  <c r="AH46" i="29"/>
  <c r="AG46" i="29"/>
  <c r="AH45" i="29"/>
  <c r="AG45" i="29"/>
  <c r="AH44" i="29"/>
  <c r="AG44" i="29"/>
  <c r="AH43" i="29"/>
  <c r="AG43" i="29"/>
  <c r="AH42" i="29"/>
  <c r="AG42" i="29"/>
  <c r="AH41" i="29"/>
  <c r="AG41" i="29"/>
  <c r="AH40" i="29"/>
  <c r="AG40" i="29"/>
  <c r="AH39" i="29"/>
  <c r="AG39" i="29"/>
  <c r="AH38" i="29"/>
  <c r="AG38" i="29"/>
  <c r="AH37" i="29"/>
  <c r="AG37" i="29"/>
  <c r="AH36" i="29"/>
  <c r="AG36" i="29"/>
  <c r="AH35" i="29"/>
  <c r="AG35" i="29"/>
  <c r="AH34" i="29"/>
  <c r="AG34" i="29"/>
  <c r="AH33" i="29"/>
  <c r="AG33" i="29"/>
  <c r="AH32" i="29"/>
  <c r="AG32" i="29"/>
  <c r="AH31" i="29"/>
  <c r="AG31" i="29"/>
  <c r="AH30" i="29"/>
  <c r="AG30" i="29"/>
  <c r="AH29" i="29"/>
  <c r="AG29" i="29"/>
  <c r="AH28" i="29"/>
  <c r="AG28" i="29"/>
  <c r="AH27" i="29"/>
  <c r="AG27" i="29"/>
  <c r="AH26" i="29"/>
  <c r="AG26" i="29"/>
  <c r="AH25" i="29"/>
  <c r="AG25" i="29"/>
  <c r="AH24" i="29"/>
  <c r="AG24" i="29"/>
  <c r="AH23" i="29"/>
  <c r="AG23" i="29"/>
  <c r="AH22" i="29"/>
  <c r="AG22" i="29"/>
  <c r="AH21" i="29"/>
  <c r="AG21" i="29"/>
  <c r="AH57" i="28"/>
  <c r="AG57" i="28"/>
  <c r="AH56" i="28"/>
  <c r="AG56" i="28"/>
  <c r="AH55" i="28"/>
  <c r="AG55" i="28"/>
  <c r="AH54" i="28"/>
  <c r="AG54" i="28"/>
  <c r="AH53" i="28"/>
  <c r="AG53" i="28"/>
  <c r="AH52" i="28"/>
  <c r="AG52" i="28"/>
  <c r="AH51" i="28"/>
  <c r="AG51" i="28"/>
  <c r="AH50" i="28"/>
  <c r="AG50" i="28"/>
  <c r="AH49" i="28"/>
  <c r="AG49" i="28"/>
  <c r="AH48" i="28"/>
  <c r="AG48" i="28"/>
  <c r="AH47" i="28"/>
  <c r="AG47" i="28"/>
  <c r="AH46" i="28"/>
  <c r="AG46" i="28"/>
  <c r="AH45" i="28"/>
  <c r="AG45" i="28"/>
  <c r="AH44" i="28"/>
  <c r="AG44" i="28"/>
  <c r="AH43" i="28"/>
  <c r="AG43" i="28"/>
  <c r="AH42" i="28"/>
  <c r="AG42" i="28"/>
  <c r="AH41" i="28"/>
  <c r="AG41" i="28"/>
  <c r="AH40" i="28"/>
  <c r="AG40" i="28"/>
  <c r="AH39" i="28"/>
  <c r="AG39" i="28"/>
  <c r="AH38" i="28"/>
  <c r="AG38" i="28"/>
  <c r="AH37" i="28"/>
  <c r="AG37" i="28"/>
  <c r="AH36" i="28"/>
  <c r="AG36" i="28"/>
  <c r="AH35" i="28"/>
  <c r="AG35" i="28"/>
  <c r="AH34" i="28"/>
  <c r="AG34" i="28"/>
  <c r="AH33" i="28"/>
  <c r="AG33" i="28"/>
  <c r="AH32" i="28"/>
  <c r="AG32" i="28"/>
  <c r="AH31" i="28"/>
  <c r="AG31" i="28"/>
  <c r="AH30" i="28"/>
  <c r="AG30" i="28"/>
  <c r="AH29" i="28"/>
  <c r="AG29" i="28"/>
  <c r="AH28" i="28"/>
  <c r="AG28" i="28"/>
  <c r="AH27" i="28"/>
  <c r="AG27" i="28"/>
  <c r="AH26" i="28"/>
  <c r="AG26" i="28"/>
  <c r="AH25" i="28"/>
  <c r="AG25" i="28"/>
  <c r="AH24" i="28"/>
  <c r="AG24" i="28"/>
  <c r="AH23" i="28"/>
  <c r="AG23" i="28"/>
  <c r="AH22" i="28"/>
  <c r="AG22" i="28"/>
  <c r="AH21" i="28"/>
  <c r="AG21" i="28"/>
  <c r="AF57" i="20"/>
  <c r="AE57" i="20"/>
  <c r="AF56" i="20"/>
  <c r="AE56" i="20"/>
  <c r="AF55" i="20"/>
  <c r="AE55" i="20"/>
  <c r="AF54" i="20"/>
  <c r="AE54" i="20"/>
  <c r="AF53" i="20"/>
  <c r="AE53" i="20"/>
  <c r="AF52" i="20"/>
  <c r="AE52" i="20"/>
  <c r="AF51" i="20"/>
  <c r="AE51" i="20"/>
  <c r="AF50" i="20"/>
  <c r="AE50" i="20"/>
  <c r="AF49" i="20"/>
  <c r="AE49" i="20"/>
  <c r="AF48" i="20"/>
  <c r="AE48" i="20"/>
  <c r="AF47" i="20"/>
  <c r="AE47" i="20"/>
  <c r="AF46" i="20"/>
  <c r="AE46" i="20"/>
  <c r="AF45" i="20"/>
  <c r="AE45" i="20"/>
  <c r="AF44" i="20"/>
  <c r="AE44" i="20"/>
  <c r="AF43" i="20"/>
  <c r="AE43" i="20"/>
  <c r="AF42" i="20"/>
  <c r="AE42" i="20"/>
  <c r="AF41" i="20"/>
  <c r="AE41" i="20"/>
  <c r="AF40" i="20"/>
  <c r="AE40" i="20"/>
  <c r="AF39" i="20"/>
  <c r="AE39" i="20"/>
  <c r="AF38" i="20"/>
  <c r="AE38" i="20"/>
  <c r="AF37" i="20"/>
  <c r="AE37" i="20"/>
  <c r="AF36" i="20"/>
  <c r="AE36" i="20"/>
  <c r="AF35" i="20"/>
  <c r="AE35" i="20"/>
  <c r="AF34" i="20"/>
  <c r="AE34" i="20"/>
  <c r="AF33" i="20"/>
  <c r="AE33" i="20"/>
  <c r="AF32" i="20"/>
  <c r="AE32" i="20"/>
  <c r="AF31" i="20"/>
  <c r="AE31" i="20"/>
  <c r="AF30" i="20"/>
  <c r="AE30" i="20"/>
  <c r="AF29" i="20"/>
  <c r="AE29" i="20"/>
  <c r="AF28" i="20"/>
  <c r="AE28" i="20"/>
  <c r="AF27" i="20"/>
  <c r="AE27" i="20"/>
  <c r="AF26" i="20"/>
  <c r="AE26" i="20"/>
  <c r="AF25" i="20"/>
  <c r="AE25" i="20"/>
  <c r="AF24" i="20"/>
  <c r="AE24" i="20"/>
  <c r="AF23" i="20"/>
  <c r="AE23" i="20"/>
  <c r="AF22" i="20"/>
  <c r="AE22" i="20"/>
  <c r="AF21" i="20"/>
  <c r="AE21" i="20"/>
  <c r="AF57" i="19"/>
  <c r="AE57" i="19"/>
  <c r="AF56" i="19"/>
  <c r="AE56" i="19"/>
  <c r="AF55" i="19"/>
  <c r="AE55" i="19"/>
  <c r="AF54" i="19"/>
  <c r="AE54" i="19"/>
  <c r="AF53" i="19"/>
  <c r="AE53" i="19"/>
  <c r="AF52" i="19"/>
  <c r="AE52" i="19"/>
  <c r="AF51" i="19"/>
  <c r="AE51" i="19"/>
  <c r="AF50" i="19"/>
  <c r="AE50" i="19"/>
  <c r="AF49" i="19"/>
  <c r="AE49" i="19"/>
  <c r="AF48" i="19"/>
  <c r="AE48" i="19"/>
  <c r="AF47" i="19"/>
  <c r="AE47" i="19"/>
  <c r="AF46" i="19"/>
  <c r="AE46" i="19"/>
  <c r="AF45" i="19"/>
  <c r="AE45" i="19"/>
  <c r="AF44" i="19"/>
  <c r="AE44" i="19"/>
  <c r="AF43" i="19"/>
  <c r="AE43" i="19"/>
  <c r="AF42" i="19"/>
  <c r="AE42" i="19"/>
  <c r="AF41" i="19"/>
  <c r="AE41" i="19"/>
  <c r="AF40" i="19"/>
  <c r="AE40" i="19"/>
  <c r="AF39" i="19"/>
  <c r="AE39" i="19"/>
  <c r="AF38" i="19"/>
  <c r="AE38" i="19"/>
  <c r="AF37" i="19"/>
  <c r="AE37" i="19"/>
  <c r="AF36" i="19"/>
  <c r="AE36" i="19"/>
  <c r="AF35" i="19"/>
  <c r="AE35" i="19"/>
  <c r="AF34" i="19"/>
  <c r="AE34" i="19"/>
  <c r="AF33" i="19"/>
  <c r="AE33" i="19"/>
  <c r="AF32" i="19"/>
  <c r="AE32" i="19"/>
  <c r="AF31" i="19"/>
  <c r="AE31" i="19"/>
  <c r="AF30" i="19"/>
  <c r="AE30" i="19"/>
  <c r="AF29" i="19"/>
  <c r="AE29" i="19"/>
  <c r="AF28" i="19"/>
  <c r="AE28" i="19"/>
  <c r="AF27" i="19"/>
  <c r="AE27" i="19"/>
  <c r="AF26" i="19"/>
  <c r="AE26" i="19"/>
  <c r="AF25" i="19"/>
  <c r="AE25" i="19"/>
  <c r="AF24" i="19"/>
  <c r="AE24" i="19"/>
  <c r="AF23" i="19"/>
  <c r="AE23" i="19"/>
  <c r="AF22" i="19"/>
  <c r="AE22" i="19"/>
  <c r="AF21" i="19"/>
  <c r="AE21" i="19"/>
  <c r="AF57" i="18"/>
  <c r="AE57" i="18"/>
  <c r="AF56" i="18"/>
  <c r="AE56" i="18"/>
  <c r="AF55" i="18"/>
  <c r="AE55" i="18"/>
  <c r="AF54" i="18"/>
  <c r="AE54" i="18"/>
  <c r="AF53" i="18"/>
  <c r="AE53" i="18"/>
  <c r="AF52" i="18"/>
  <c r="AE52" i="18"/>
  <c r="AF51" i="18"/>
  <c r="AE51" i="18"/>
  <c r="AF50" i="18"/>
  <c r="AE50" i="18"/>
  <c r="AF49" i="18"/>
  <c r="AE49" i="18"/>
  <c r="AF48" i="18"/>
  <c r="AE48" i="18"/>
  <c r="AF47" i="18"/>
  <c r="AE47" i="18"/>
  <c r="AF46" i="18"/>
  <c r="AE46" i="18"/>
  <c r="AF45" i="18"/>
  <c r="AE45" i="18"/>
  <c r="AF44" i="18"/>
  <c r="AE44" i="18"/>
  <c r="AF43" i="18"/>
  <c r="AE43" i="18"/>
  <c r="AF42" i="18"/>
  <c r="AE42" i="18"/>
  <c r="AF41" i="18"/>
  <c r="AE41" i="18"/>
  <c r="AF40" i="18"/>
  <c r="AE40" i="18"/>
  <c r="AF39" i="18"/>
  <c r="AE39" i="18"/>
  <c r="AF38" i="18"/>
  <c r="AE38" i="18"/>
  <c r="AF37" i="18"/>
  <c r="AE37" i="18"/>
  <c r="AF36" i="18"/>
  <c r="AE36" i="18"/>
  <c r="AF35" i="18"/>
  <c r="AE35" i="18"/>
  <c r="AF34" i="18"/>
  <c r="AE34" i="18"/>
  <c r="AF33" i="18"/>
  <c r="AE33" i="18"/>
  <c r="AF32" i="18"/>
  <c r="AE32" i="18"/>
  <c r="AF31" i="18"/>
  <c r="AE31" i="18"/>
  <c r="AF30" i="18"/>
  <c r="AE30" i="18"/>
  <c r="AF29" i="18"/>
  <c r="AE29" i="18"/>
  <c r="AF28" i="18"/>
  <c r="AE28" i="18"/>
  <c r="AF27" i="18"/>
  <c r="AE27" i="18"/>
  <c r="AF26" i="18"/>
  <c r="AE26" i="18"/>
  <c r="AF25" i="18"/>
  <c r="AE25" i="18"/>
  <c r="AF24" i="18"/>
  <c r="AE24" i="18"/>
  <c r="AF23" i="18"/>
  <c r="AE23" i="18"/>
  <c r="AF22" i="18"/>
  <c r="AE22" i="18"/>
  <c r="AF21" i="18"/>
  <c r="AE21" i="18"/>
  <c r="AG19" i="12"/>
  <c r="AG22" i="12"/>
  <c r="AG21" i="12"/>
  <c r="AH22" i="12"/>
  <c r="AH21" i="12"/>
  <c r="AH19" i="12"/>
  <c r="V71" i="39" l="1"/>
  <c r="AA72" i="39" s="1"/>
  <c r="G51" i="39"/>
  <c r="U72" i="39"/>
  <c r="AD51" i="39"/>
  <c r="N72" i="39"/>
  <c r="X72" i="39"/>
  <c r="U15" i="39"/>
  <c r="U34" i="39" s="1"/>
  <c r="AE41" i="39"/>
  <c r="U41" i="39"/>
  <c r="G42" i="39"/>
  <c r="G41" i="39" s="1"/>
  <c r="P41" i="39"/>
  <c r="F72" i="39"/>
  <c r="P72" i="39"/>
  <c r="Z72" i="39"/>
  <c r="O35" i="39"/>
  <c r="AE35" i="39"/>
  <c r="Q57" i="39"/>
  <c r="V16" i="39"/>
  <c r="O41" i="39"/>
  <c r="O14" i="39" s="1"/>
  <c r="AA51" i="39"/>
  <c r="J72" i="39"/>
  <c r="T72" i="39"/>
  <c r="AA9" i="39"/>
  <c r="AA9" i="8"/>
  <c r="AC15" i="39"/>
  <c r="AC34" i="39" s="1"/>
  <c r="AD16" i="39"/>
  <c r="Q73" i="39"/>
  <c r="G28" i="39"/>
  <c r="G36" i="39" s="1"/>
  <c r="X41" i="39"/>
  <c r="AB72" i="39"/>
  <c r="J15" i="39"/>
  <c r="J14" i="39" s="1"/>
  <c r="AF35" i="39"/>
  <c r="W35" i="39"/>
  <c r="AB41" i="39"/>
  <c r="Q51" i="39"/>
  <c r="L51" i="39"/>
  <c r="S72" i="39"/>
  <c r="L16" i="39"/>
  <c r="G71" i="39"/>
  <c r="L72" i="39" s="1"/>
  <c r="L28" i="39"/>
  <c r="L36" i="39" s="1"/>
  <c r="V28" i="39"/>
  <c r="V36" i="39" s="1"/>
  <c r="M41" i="39"/>
  <c r="W41" i="39"/>
  <c r="V42" i="39"/>
  <c r="V41" i="39" s="1"/>
  <c r="H41" i="39"/>
  <c r="K72" i="39"/>
  <c r="K15" i="39"/>
  <c r="K34" i="39" s="1"/>
  <c r="Z15" i="39"/>
  <c r="AA28" i="39"/>
  <c r="AA36" i="39" s="1"/>
  <c r="F41" i="39"/>
  <c r="Q42" i="39"/>
  <c r="L42" i="39"/>
  <c r="D72" i="39"/>
  <c r="Q71" i="39"/>
  <c r="Q72" i="39" s="1"/>
  <c r="R15" i="39"/>
  <c r="R34" i="39" s="1"/>
  <c r="AD73" i="39"/>
  <c r="AD74" i="39" s="1"/>
  <c r="L57" i="39"/>
  <c r="AA57" i="39"/>
  <c r="AA31" i="36" s="1"/>
  <c r="V57" i="39"/>
  <c r="G16" i="39"/>
  <c r="G35" i="39" s="1"/>
  <c r="AE36" i="39"/>
  <c r="G73" i="39"/>
  <c r="H74" i="39" s="1"/>
  <c r="AA42" i="39"/>
  <c r="AA41" i="39" s="1"/>
  <c r="K41" i="39"/>
  <c r="E72" i="39"/>
  <c r="Y72" i="39"/>
  <c r="W72" i="39"/>
  <c r="V72" i="39"/>
  <c r="AF36" i="39"/>
  <c r="R72" i="39"/>
  <c r="AE72" i="39"/>
  <c r="AD72" i="39"/>
  <c r="V15" i="39"/>
  <c r="N34" i="39"/>
  <c r="N14" i="39"/>
  <c r="W34" i="39"/>
  <c r="W14" i="39"/>
  <c r="O34" i="39"/>
  <c r="L35" i="39"/>
  <c r="L15" i="39"/>
  <c r="F34" i="39"/>
  <c r="F14" i="39"/>
  <c r="M72" i="39"/>
  <c r="Z34" i="39"/>
  <c r="AE15" i="39"/>
  <c r="AD28" i="39"/>
  <c r="AD36" i="39" s="1"/>
  <c r="J41" i="39"/>
  <c r="R41" i="39"/>
  <c r="Z41" i="39"/>
  <c r="H15" i="39"/>
  <c r="P15" i="39"/>
  <c r="X15" i="39"/>
  <c r="AA16" i="39"/>
  <c r="F35" i="39"/>
  <c r="N35" i="39"/>
  <c r="V35" i="39"/>
  <c r="AD35" i="39"/>
  <c r="C41" i="39"/>
  <c r="S41" i="39"/>
  <c r="S14" i="39" s="1"/>
  <c r="AF73" i="39"/>
  <c r="I15" i="39"/>
  <c r="Y15" i="39"/>
  <c r="J36" i="39"/>
  <c r="R36" i="39"/>
  <c r="Z36" i="39"/>
  <c r="M14" i="39"/>
  <c r="L73" i="39"/>
  <c r="E41" i="39"/>
  <c r="AC41" i="39"/>
  <c r="R74" i="39"/>
  <c r="D15" i="39"/>
  <c r="T15" i="39"/>
  <c r="AB15" i="39"/>
  <c r="V73" i="39"/>
  <c r="AF57" i="39"/>
  <c r="AF31" i="36" s="1"/>
  <c r="AA73" i="39"/>
  <c r="Q16" i="39"/>
  <c r="AH25" i="39"/>
  <c r="AI25" i="39" s="1"/>
  <c r="AJ25" i="39" s="1"/>
  <c r="AK25" i="39" s="1"/>
  <c r="AL25" i="39" s="1"/>
  <c r="AM25" i="39" s="1"/>
  <c r="AN25" i="39" s="1"/>
  <c r="AO25" i="39" s="1"/>
  <c r="AP25" i="39" s="1"/>
  <c r="AQ25" i="39" s="1"/>
  <c r="AR25" i="39" s="1"/>
  <c r="AS25" i="39" s="1"/>
  <c r="AT25" i="39" s="1"/>
  <c r="AU25" i="39" s="1"/>
  <c r="AV25" i="39" s="1"/>
  <c r="AW25" i="39" s="1"/>
  <c r="AX25" i="39" s="1"/>
  <c r="AY25" i="39" s="1"/>
  <c r="AZ25" i="39" s="1"/>
  <c r="BA25" i="39" s="1"/>
  <c r="BB25" i="39" s="1"/>
  <c r="BC25" i="39" s="1"/>
  <c r="BD25" i="39" s="1"/>
  <c r="BE25" i="39" s="1"/>
  <c r="BF25" i="39" s="1"/>
  <c r="BG25" i="39" s="1"/>
  <c r="BH25" i="39" s="1"/>
  <c r="BI25" i="39" s="1"/>
  <c r="BJ25" i="39" s="1"/>
  <c r="BK25" i="39" s="1"/>
  <c r="BL25" i="39" s="1"/>
  <c r="BM25" i="39" s="1"/>
  <c r="BN25" i="39" s="1"/>
  <c r="BO25" i="39" s="1"/>
  <c r="BP25" i="39" s="1"/>
  <c r="BQ25" i="39" s="1"/>
  <c r="BR25" i="39" s="1"/>
  <c r="BS25" i="39" s="1"/>
  <c r="BT25" i="39" s="1"/>
  <c r="BU25" i="39" s="1"/>
  <c r="BV25" i="39" s="1"/>
  <c r="BW25" i="39" s="1"/>
  <c r="AG73" i="39"/>
  <c r="AE74" i="39"/>
  <c r="BJ43" i="39"/>
  <c r="BK43" i="39" s="1"/>
  <c r="BL43" i="39" s="1"/>
  <c r="BM43" i="39" s="1"/>
  <c r="BN43" i="39" s="1"/>
  <c r="BO43" i="39" s="1"/>
  <c r="BP43" i="39" s="1"/>
  <c r="BQ43" i="39" s="1"/>
  <c r="BR43" i="39" s="1"/>
  <c r="BS43" i="39" s="1"/>
  <c r="BT43" i="39" s="1"/>
  <c r="BU43" i="39" s="1"/>
  <c r="BV43" i="39" s="1"/>
  <c r="BW43" i="39" s="1"/>
  <c r="AA26" i="36"/>
  <c r="AH1" i="36"/>
  <c r="AH6" i="36" s="1"/>
  <c r="AH18" i="36" s="1"/>
  <c r="L27" i="36"/>
  <c r="AB26" i="36"/>
  <c r="AG43" i="36"/>
  <c r="AG22" i="36"/>
  <c r="AG47" i="36"/>
  <c r="AC27" i="36"/>
  <c r="Q27" i="36"/>
  <c r="AG18" i="36"/>
  <c r="AG19" i="36" s="1"/>
  <c r="AG10" i="36" s="1"/>
  <c r="AG44" i="36"/>
  <c r="AG64" i="37"/>
  <c r="AG61" i="37" s="1"/>
  <c r="AG58" i="37" s="1"/>
  <c r="AH64" i="37" s="1"/>
  <c r="AH61" i="37" s="1"/>
  <c r="AH60" i="37" s="1"/>
  <c r="V27" i="36"/>
  <c r="AI1" i="36"/>
  <c r="AF35" i="36"/>
  <c r="AE26" i="36"/>
  <c r="AE34" i="36"/>
  <c r="BP43" i="36"/>
  <c r="J11" i="40"/>
  <c r="J10" i="39" s="1"/>
  <c r="J32" i="8"/>
  <c r="J39" i="8" s="1"/>
  <c r="R11" i="40"/>
  <c r="R10" i="39" s="1"/>
  <c r="R32" i="8"/>
  <c r="R39" i="8" s="1"/>
  <c r="X11" i="40"/>
  <c r="X10" i="39" s="1"/>
  <c r="X32" i="8"/>
  <c r="P11" i="40"/>
  <c r="P10" i="39" s="1"/>
  <c r="P32" i="8"/>
  <c r="P39" i="8" s="1"/>
  <c r="F3" i="15"/>
  <c r="AH9" i="40" s="1"/>
  <c r="AG40" i="36"/>
  <c r="AG6" i="37"/>
  <c r="I11" i="40"/>
  <c r="I10" i="39" s="1"/>
  <c r="I32" i="8"/>
  <c r="I39" i="8" s="1"/>
  <c r="Q11" i="40"/>
  <c r="Q10" i="39" s="1"/>
  <c r="Q32" i="8"/>
  <c r="Q39" i="8" s="1"/>
  <c r="AH1" i="8"/>
  <c r="O32" i="8"/>
  <c r="O39" i="8" s="1"/>
  <c r="O11" i="40"/>
  <c r="O10" i="39" s="1"/>
  <c r="W32" i="8"/>
  <c r="W11" i="40"/>
  <c r="W10" i="39" s="1"/>
  <c r="M32" i="8"/>
  <c r="M39" i="8" s="1"/>
  <c r="M11" i="40"/>
  <c r="M10" i="39" s="1"/>
  <c r="U32" i="8"/>
  <c r="U39" i="8" s="1"/>
  <c r="U11" i="40"/>
  <c r="U10" i="39" s="1"/>
  <c r="AC32" i="8"/>
  <c r="AC11" i="40"/>
  <c r="AC10" i="39" s="1"/>
  <c r="AF29" i="8"/>
  <c r="V39" i="8"/>
  <c r="AG16" i="8"/>
  <c r="E3" i="15"/>
  <c r="AG9" i="40" s="1"/>
  <c r="AF6" i="37"/>
  <c r="K32" i="8"/>
  <c r="K39" i="8" s="1"/>
  <c r="K11" i="40"/>
  <c r="K10" i="39" s="1"/>
  <c r="S32" i="8"/>
  <c r="S39" i="8" s="1"/>
  <c r="S11" i="40"/>
  <c r="S10" i="39" s="1"/>
  <c r="AA32" i="8"/>
  <c r="AA11" i="40"/>
  <c r="AA10" i="39" s="1"/>
  <c r="N32" i="8"/>
  <c r="N39" i="8" s="1"/>
  <c r="N11" i="40"/>
  <c r="N10" i="39" s="1"/>
  <c r="V32" i="8"/>
  <c r="V11" i="40"/>
  <c r="V10" i="39" s="1"/>
  <c r="AD32" i="8"/>
  <c r="AD11" i="40"/>
  <c r="AD10" i="39" s="1"/>
  <c r="W39" i="8"/>
  <c r="W5" i="12"/>
  <c r="AE39" i="8"/>
  <c r="AE5" i="12"/>
  <c r="AB39" i="8"/>
  <c r="AE32" i="8"/>
  <c r="AE11" i="40"/>
  <c r="AE10" i="39" s="1"/>
  <c r="AG13" i="8"/>
  <c r="AG14" i="8" s="1"/>
  <c r="AG22" i="8" s="1"/>
  <c r="Y9" i="40"/>
  <c r="Y39" i="8"/>
  <c r="D26" i="8"/>
  <c r="D11" i="40" s="1"/>
  <c r="D10" i="39" s="1"/>
  <c r="L26" i="8"/>
  <c r="T26" i="8"/>
  <c r="AF27" i="8"/>
  <c r="AB26" i="8"/>
  <c r="AC39" i="8"/>
  <c r="AI1" i="12"/>
  <c r="F122" i="54"/>
  <c r="AD39" i="8"/>
  <c r="B46" i="54"/>
  <c r="AG1" i="40"/>
  <c r="AG7" i="40" s="1"/>
  <c r="AG1" i="53"/>
  <c r="Z39" i="8"/>
  <c r="AG13" i="12"/>
  <c r="AG1" i="39"/>
  <c r="Y32" i="8"/>
  <c r="AA39" i="8"/>
  <c r="E122" i="54"/>
  <c r="X39" i="8"/>
  <c r="AF39" i="8"/>
  <c r="AG20" i="8"/>
  <c r="N15" i="15"/>
  <c r="AD15" i="15"/>
  <c r="V15" i="15"/>
  <c r="AL15" i="15"/>
  <c r="F66" i="15"/>
  <c r="G66" i="15" s="1"/>
  <c r="H66" i="15" s="1"/>
  <c r="I66" i="15" s="1"/>
  <c r="J66" i="15" s="1"/>
  <c r="K66" i="15" s="1"/>
  <c r="L66" i="15" s="1"/>
  <c r="M66" i="15" s="1"/>
  <c r="N66" i="15" s="1"/>
  <c r="O66" i="15" s="1"/>
  <c r="P66" i="15" s="1"/>
  <c r="Q66" i="15" s="1"/>
  <c r="R66" i="15" s="1"/>
  <c r="S66" i="15" s="1"/>
  <c r="T66" i="15" s="1"/>
  <c r="U66" i="15" s="1"/>
  <c r="V66" i="15" s="1"/>
  <c r="W66" i="15" s="1"/>
  <c r="X66" i="15" s="1"/>
  <c r="Y66" i="15" s="1"/>
  <c r="Z66" i="15" s="1"/>
  <c r="AA66" i="15" s="1"/>
  <c r="AB66" i="15" s="1"/>
  <c r="AC66" i="15" s="1"/>
  <c r="AD66" i="15" s="1"/>
  <c r="AE66" i="15" s="1"/>
  <c r="AF66" i="15" s="1"/>
  <c r="AG66" i="15" s="1"/>
  <c r="AH66" i="15" s="1"/>
  <c r="AI66" i="15" s="1"/>
  <c r="AJ66" i="15" s="1"/>
  <c r="AK66" i="15" s="1"/>
  <c r="AL66" i="15" s="1"/>
  <c r="AM66" i="15" s="1"/>
  <c r="AN66" i="15" s="1"/>
  <c r="AO66" i="15" s="1"/>
  <c r="AP66" i="15" s="1"/>
  <c r="AQ66" i="15" s="1"/>
  <c r="AR66" i="15" s="1"/>
  <c r="AS66" i="15" s="1"/>
  <c r="AT66" i="15" s="1"/>
  <c r="AU66" i="15" s="1"/>
  <c r="AT15" i="15"/>
  <c r="AN7" i="37"/>
  <c r="AN5" i="36"/>
  <c r="AN6" i="40" s="1"/>
  <c r="F15" i="15"/>
  <c r="N22" i="15"/>
  <c r="AO5" i="36"/>
  <c r="AO6" i="40" s="1"/>
  <c r="AO7" i="37"/>
  <c r="G1" i="15"/>
  <c r="M15" i="15"/>
  <c r="U15" i="15"/>
  <c r="AC15" i="15"/>
  <c r="AK15" i="15"/>
  <c r="AS15" i="15"/>
  <c r="G15" i="15"/>
  <c r="O15" i="15"/>
  <c r="W15" i="15"/>
  <c r="AE15" i="15"/>
  <c r="AM15" i="15"/>
  <c r="AU15" i="15"/>
  <c r="H15" i="15"/>
  <c r="P15" i="15"/>
  <c r="X15" i="15"/>
  <c r="AF15" i="15"/>
  <c r="AN15" i="15"/>
  <c r="E15" i="15"/>
  <c r="I15" i="15"/>
  <c r="Q15" i="15"/>
  <c r="Y15" i="15"/>
  <c r="AG15" i="15"/>
  <c r="AO15" i="15"/>
  <c r="J15" i="15"/>
  <c r="R15" i="15"/>
  <c r="Z15" i="15"/>
  <c r="AH15" i="15"/>
  <c r="AP15" i="15"/>
  <c r="F71" i="15"/>
  <c r="E13" i="15"/>
  <c r="K15" i="15"/>
  <c r="S15" i="15"/>
  <c r="AA15" i="15"/>
  <c r="AI15" i="15"/>
  <c r="AQ15" i="15"/>
  <c r="E69" i="15"/>
  <c r="E71" i="15" s="1"/>
  <c r="E72" i="15" s="1"/>
  <c r="F13" i="15"/>
  <c r="L15" i="15"/>
  <c r="T15" i="15"/>
  <c r="AB15" i="15"/>
  <c r="AJ15" i="15"/>
  <c r="AE9" i="39"/>
  <c r="AD41" i="39"/>
  <c r="Z9" i="8"/>
  <c r="Z11" i="8"/>
  <c r="AD27" i="36"/>
  <c r="Y9" i="39"/>
  <c r="R40" i="8"/>
  <c r="R33" i="8" s="1"/>
  <c r="R5" i="12" s="1"/>
  <c r="Z9" i="39"/>
  <c r="Y10" i="8"/>
  <c r="Y7" i="8" s="1"/>
  <c r="Z10" i="8"/>
  <c r="Z8" i="8"/>
  <c r="BW43" i="36"/>
  <c r="AT43" i="36"/>
  <c r="BU43" i="36"/>
  <c r="AK43" i="36"/>
  <c r="AS43" i="36"/>
  <c r="BA43" i="36"/>
  <c r="BI43" i="36"/>
  <c r="BQ43" i="36"/>
  <c r="AL43" i="36"/>
  <c r="BR43" i="36"/>
  <c r="AM43" i="36"/>
  <c r="AU43" i="36"/>
  <c r="BC43" i="36"/>
  <c r="BK43" i="36"/>
  <c r="BS43" i="36"/>
  <c r="AN43" i="36"/>
  <c r="AV43" i="36"/>
  <c r="BD43" i="36"/>
  <c r="BL43" i="36"/>
  <c r="BT43" i="36"/>
  <c r="AW43" i="36"/>
  <c r="AO43" i="36"/>
  <c r="AH43" i="36"/>
  <c r="AP43" i="36"/>
  <c r="AX43" i="36"/>
  <c r="BF43" i="36"/>
  <c r="BN43" i="36"/>
  <c r="BV43" i="36"/>
  <c r="BJ43" i="36"/>
  <c r="BE43" i="36"/>
  <c r="AI43" i="36"/>
  <c r="AQ43" i="36"/>
  <c r="AY43" i="36"/>
  <c r="BG43" i="36"/>
  <c r="BO43" i="36"/>
  <c r="BB43" i="36"/>
  <c r="AG42" i="36"/>
  <c r="BM43" i="36"/>
  <c r="AJ43" i="36"/>
  <c r="AR43" i="36"/>
  <c r="AZ43" i="36"/>
  <c r="BH43" i="36"/>
  <c r="AE14" i="39"/>
  <c r="AE27" i="36"/>
  <c r="AF41" i="39"/>
  <c r="AF26" i="36"/>
  <c r="AC40" i="8"/>
  <c r="G8" i="8"/>
  <c r="G11" i="8"/>
  <c r="AA8" i="8"/>
  <c r="U10" i="8"/>
  <c r="G10" i="8"/>
  <c r="G9" i="8"/>
  <c r="AA11" i="8"/>
  <c r="X16" i="40"/>
  <c r="X31" i="40" s="1"/>
  <c r="AE8" i="8"/>
  <c r="AF8" i="8"/>
  <c r="AE9" i="8"/>
  <c r="K9" i="39"/>
  <c r="AE27" i="40"/>
  <c r="K8" i="8"/>
  <c r="AF9" i="8"/>
  <c r="L9" i="39"/>
  <c r="L8" i="8"/>
  <c r="K9" i="8"/>
  <c r="AE10" i="8"/>
  <c r="M5" i="39"/>
  <c r="C27" i="40"/>
  <c r="M31" i="40"/>
  <c r="W27" i="40"/>
  <c r="AA38" i="40"/>
  <c r="L9" i="8"/>
  <c r="K10" i="8"/>
  <c r="AF10" i="8"/>
  <c r="R5" i="39"/>
  <c r="W26" i="40"/>
  <c r="M40" i="8"/>
  <c r="M33" i="8" s="1"/>
  <c r="M5" i="12" s="1"/>
  <c r="AB40" i="8"/>
  <c r="G20" i="40"/>
  <c r="G64" i="40" s="1"/>
  <c r="AA20" i="40"/>
  <c r="AA64" i="40" s="1"/>
  <c r="K27" i="40"/>
  <c r="U27" i="40"/>
  <c r="R31" i="40"/>
  <c r="Q45" i="40"/>
  <c r="Q7" i="8"/>
  <c r="AD31" i="40"/>
  <c r="T8" i="8"/>
  <c r="H40" i="8"/>
  <c r="H33" i="8" s="1"/>
  <c r="H5" i="12" s="1"/>
  <c r="AE5" i="39"/>
  <c r="Q52" i="40"/>
  <c r="U8" i="8"/>
  <c r="T11" i="8"/>
  <c r="U11" i="8"/>
  <c r="AF38" i="40"/>
  <c r="AF39" i="40"/>
  <c r="L40" i="40"/>
  <c r="AF40" i="40"/>
  <c r="L41" i="40"/>
  <c r="V41" i="40"/>
  <c r="T9" i="8"/>
  <c r="L38" i="40"/>
  <c r="S27" i="40"/>
  <c r="AA45" i="40"/>
  <c r="U9" i="8"/>
  <c r="F27" i="40"/>
  <c r="J27" i="40"/>
  <c r="U9" i="39"/>
  <c r="V30" i="40"/>
  <c r="AE40" i="8"/>
  <c r="D16" i="40"/>
  <c r="D5" i="39" s="1"/>
  <c r="AD27" i="40"/>
  <c r="G39" i="40"/>
  <c r="Q39" i="40"/>
  <c r="AA41" i="40"/>
  <c r="G52" i="40"/>
  <c r="O11" i="8"/>
  <c r="O10" i="8"/>
  <c r="O9" i="8"/>
  <c r="O8" i="8"/>
  <c r="O9" i="39"/>
  <c r="E8" i="8"/>
  <c r="V8" i="8"/>
  <c r="V9" i="8"/>
  <c r="V10" i="8"/>
  <c r="V11" i="8"/>
  <c r="AD21" i="40"/>
  <c r="N21" i="40"/>
  <c r="G40" i="40"/>
  <c r="Q41" i="40"/>
  <c r="P9" i="39"/>
  <c r="Q38" i="40"/>
  <c r="L45" i="40"/>
  <c r="V45" i="40"/>
  <c r="AA52" i="40"/>
  <c r="P8" i="8"/>
  <c r="P9" i="8"/>
  <c r="P10" i="8"/>
  <c r="P11" i="8"/>
  <c r="AD5" i="39"/>
  <c r="W18" i="40"/>
  <c r="W7" i="39" s="1"/>
  <c r="AC23" i="40"/>
  <c r="AC71" i="12" s="1"/>
  <c r="AC70" i="12" s="1"/>
  <c r="AA39" i="40"/>
  <c r="G41" i="40"/>
  <c r="M27" i="40"/>
  <c r="AD29" i="40"/>
  <c r="R27" i="40"/>
  <c r="E9" i="8"/>
  <c r="E10" i="8"/>
  <c r="F9" i="39"/>
  <c r="F21" i="40"/>
  <c r="AC31" i="40"/>
  <c r="G45" i="40"/>
  <c r="E11" i="8"/>
  <c r="F8" i="8"/>
  <c r="F9" i="8"/>
  <c r="F10" i="8"/>
  <c r="F11" i="8"/>
  <c r="AD40" i="8"/>
  <c r="G38" i="40"/>
  <c r="L39" i="40"/>
  <c r="V40" i="40"/>
  <c r="AF41" i="40"/>
  <c r="L52" i="40"/>
  <c r="V52" i="40"/>
  <c r="AJ54" i="39"/>
  <c r="AJ46" i="39"/>
  <c r="AH49" i="39"/>
  <c r="AI49" i="39" s="1"/>
  <c r="AJ49" i="39" s="1"/>
  <c r="AK49" i="39" s="1"/>
  <c r="AL49" i="39" s="1"/>
  <c r="AM49" i="39" s="1"/>
  <c r="AN49" i="39" s="1"/>
  <c r="AO49" i="39" s="1"/>
  <c r="AP49" i="39" s="1"/>
  <c r="AQ49" i="39" s="1"/>
  <c r="AR49" i="39" s="1"/>
  <c r="AS49" i="39" s="1"/>
  <c r="AT49" i="39" s="1"/>
  <c r="AU49" i="39" s="1"/>
  <c r="AV49" i="39" s="1"/>
  <c r="AW49" i="39" s="1"/>
  <c r="AX49" i="39" s="1"/>
  <c r="AY49" i="39" s="1"/>
  <c r="AZ49" i="39" s="1"/>
  <c r="BA49" i="39" s="1"/>
  <c r="BB49" i="39" s="1"/>
  <c r="BC49" i="39" s="1"/>
  <c r="BD49" i="39" s="1"/>
  <c r="BE49" i="39" s="1"/>
  <c r="BF49" i="39" s="1"/>
  <c r="BG49" i="39" s="1"/>
  <c r="BH49" i="39" s="1"/>
  <c r="BI49" i="39" s="1"/>
  <c r="BJ49" i="39" s="1"/>
  <c r="BK49" i="39" s="1"/>
  <c r="BL49" i="39" s="1"/>
  <c r="BM49" i="39" s="1"/>
  <c r="BN49" i="39" s="1"/>
  <c r="BO49" i="39" s="1"/>
  <c r="BP49" i="39" s="1"/>
  <c r="BQ49" i="39" s="1"/>
  <c r="BR49" i="39" s="1"/>
  <c r="BS49" i="39" s="1"/>
  <c r="BT49" i="39" s="1"/>
  <c r="BU49" i="39" s="1"/>
  <c r="BV49" i="39" s="1"/>
  <c r="BW49" i="39" s="1"/>
  <c r="AH56" i="39"/>
  <c r="C1" i="12"/>
  <c r="T25" i="53"/>
  <c r="T2" i="53"/>
  <c r="G25" i="53"/>
  <c r="G2" i="53"/>
  <c r="E16" i="40"/>
  <c r="E31" i="40" s="1"/>
  <c r="F17" i="40"/>
  <c r="O64" i="40"/>
  <c r="O21" i="40"/>
  <c r="H31" i="40"/>
  <c r="H27" i="40"/>
  <c r="P27" i="40"/>
  <c r="E25" i="53"/>
  <c r="K25" i="53"/>
  <c r="K2" i="53"/>
  <c r="J5" i="40"/>
  <c r="I5" i="40" s="1"/>
  <c r="H37" i="53"/>
  <c r="I16" i="40"/>
  <c r="I26" i="40" s="1"/>
  <c r="AB37" i="53"/>
  <c r="AB23" i="40"/>
  <c r="AB71" i="12" s="1"/>
  <c r="AB43" i="40"/>
  <c r="H29" i="40"/>
  <c r="AB31" i="40"/>
  <c r="AB27" i="40"/>
  <c r="T9" i="39"/>
  <c r="Y25" i="53"/>
  <c r="Y2" i="53"/>
  <c r="X5" i="40"/>
  <c r="J17" i="40"/>
  <c r="Z27" i="40"/>
  <c r="E9" i="39"/>
  <c r="O25" i="53"/>
  <c r="O2" i="53"/>
  <c r="AA25" i="53"/>
  <c r="AA2" i="53"/>
  <c r="S64" i="40"/>
  <c r="S21" i="40"/>
  <c r="V20" i="40"/>
  <c r="AB26" i="40"/>
  <c r="N27" i="40"/>
  <c r="T27" i="40"/>
  <c r="V39" i="40"/>
  <c r="AE25" i="53"/>
  <c r="AE2" i="53"/>
  <c r="AD5" i="40"/>
  <c r="AC5" i="40" s="1"/>
  <c r="O17" i="40"/>
  <c r="G30" i="40"/>
  <c r="L30" i="40"/>
  <c r="AF16" i="40"/>
  <c r="AF23" i="40" s="1"/>
  <c r="R18" i="40"/>
  <c r="R26" i="40"/>
  <c r="S17" i="40"/>
  <c r="C64" i="40"/>
  <c r="C21" i="40"/>
  <c r="K64" i="40"/>
  <c r="K21" i="40"/>
  <c r="L20" i="40"/>
  <c r="D26" i="40"/>
  <c r="AC29" i="40"/>
  <c r="AC27" i="40"/>
  <c r="D27" i="40"/>
  <c r="AF30" i="40"/>
  <c r="Q40" i="40"/>
  <c r="AA40" i="40"/>
  <c r="S5" i="40"/>
  <c r="R5" i="40" s="1"/>
  <c r="W64" i="40"/>
  <c r="W21" i="40"/>
  <c r="AE64" i="40"/>
  <c r="AE21" i="40"/>
  <c r="H26" i="40"/>
  <c r="AB29" i="40"/>
  <c r="X27" i="40"/>
  <c r="AA30" i="40"/>
  <c r="V38" i="40"/>
  <c r="P25" i="53"/>
  <c r="P2" i="53"/>
  <c r="AF25" i="53"/>
  <c r="AF2" i="53"/>
  <c r="AB18" i="40"/>
  <c r="Q30" i="40"/>
  <c r="C31" i="40"/>
  <c r="Q25" i="53"/>
  <c r="Q2" i="53"/>
  <c r="AG5" i="40"/>
  <c r="AG9" i="39" s="1"/>
  <c r="R43" i="40"/>
  <c r="R37" i="53"/>
  <c r="E64" i="40"/>
  <c r="M64" i="40"/>
  <c r="U64" i="40"/>
  <c r="AC64" i="40"/>
  <c r="R29" i="40"/>
  <c r="U25" i="53"/>
  <c r="Z25" i="53"/>
  <c r="Z2" i="53"/>
  <c r="S16" i="40"/>
  <c r="AC17" i="40"/>
  <c r="C26" i="40"/>
  <c r="C29" i="40"/>
  <c r="AE45" i="40"/>
  <c r="H43" i="40"/>
  <c r="W43" i="40"/>
  <c r="U2" i="53"/>
  <c r="D5" i="40"/>
  <c r="C5" i="40" s="1"/>
  <c r="L25" i="53"/>
  <c r="L2" i="53"/>
  <c r="H64" i="40"/>
  <c r="P64" i="40"/>
  <c r="X64" i="40"/>
  <c r="AF20" i="40"/>
  <c r="AF21" i="40" s="1"/>
  <c r="AD23" i="40"/>
  <c r="AD71" i="12" s="1"/>
  <c r="AD70" i="12" s="1"/>
  <c r="M26" i="40"/>
  <c r="M29" i="40"/>
  <c r="W31" i="40"/>
  <c r="M43" i="40"/>
  <c r="N42" i="40"/>
  <c r="N16" i="40"/>
  <c r="X17" i="40"/>
  <c r="I64" i="40"/>
  <c r="Q20" i="40"/>
  <c r="Y64" i="40"/>
  <c r="W23" i="40"/>
  <c r="W71" i="12" s="1"/>
  <c r="T64" i="40"/>
  <c r="AC43" i="40"/>
  <c r="AD42" i="40"/>
  <c r="AE42" i="40" s="1"/>
  <c r="F25" i="53"/>
  <c r="F2" i="53"/>
  <c r="N5" i="40"/>
  <c r="V25" i="53"/>
  <c r="V2" i="53"/>
  <c r="AE37" i="53"/>
  <c r="J64" i="40"/>
  <c r="R64" i="40"/>
  <c r="Z64" i="40"/>
  <c r="D21" i="40"/>
  <c r="T21" i="40"/>
  <c r="AB21" i="40"/>
  <c r="I27" i="40"/>
  <c r="Y27" i="40"/>
  <c r="W29" i="40"/>
  <c r="AB64" i="40"/>
  <c r="X42" i="40"/>
  <c r="I42" i="40"/>
  <c r="T42" i="40"/>
  <c r="AH58" i="37"/>
  <c r="AG60" i="37"/>
  <c r="BW11" i="37"/>
  <c r="BW53" i="37" s="1"/>
  <c r="AF18" i="37"/>
  <c r="AG25" i="37" s="1"/>
  <c r="AH1" i="37"/>
  <c r="AG25" i="12"/>
  <c r="AG18" i="12"/>
  <c r="AH18" i="12"/>
  <c r="AG27" i="12"/>
  <c r="AG28" i="12"/>
  <c r="AI21" i="12"/>
  <c r="AI19" i="12"/>
  <c r="AI22" i="12"/>
  <c r="AG62" i="12"/>
  <c r="AH61" i="12"/>
  <c r="AH47" i="12"/>
  <c r="AG50" i="8"/>
  <c r="AH53" i="8"/>
  <c r="AH50" i="8"/>
  <c r="AH24" i="8"/>
  <c r="AH49" i="12"/>
  <c r="AG68" i="8"/>
  <c r="AG70" i="8"/>
  <c r="AG11" i="8"/>
  <c r="AH52" i="8"/>
  <c r="AG71" i="8"/>
  <c r="AI49" i="12"/>
  <c r="AG49" i="12"/>
  <c r="AI50" i="12"/>
  <c r="AH8" i="8"/>
  <c r="AG35" i="12"/>
  <c r="AH59" i="12"/>
  <c r="AG47" i="12"/>
  <c r="AI61" i="12"/>
  <c r="AI47" i="12"/>
  <c r="AG52" i="8"/>
  <c r="AH11" i="8"/>
  <c r="AG10" i="8"/>
  <c r="AH33" i="12"/>
  <c r="AG8" i="8"/>
  <c r="AI33" i="12"/>
  <c r="AH36" i="12"/>
  <c r="AG24" i="8"/>
  <c r="AG36" i="12"/>
  <c r="AG50" i="12"/>
  <c r="AG59" i="12"/>
  <c r="AH10" i="8"/>
  <c r="AH62" i="12"/>
  <c r="AI62" i="12"/>
  <c r="AI59" i="12"/>
  <c r="AH35" i="12"/>
  <c r="AI35" i="12"/>
  <c r="AG33" i="12"/>
  <c r="AH50" i="12"/>
  <c r="AI36" i="12"/>
  <c r="AG61" i="12"/>
  <c r="AG53" i="8"/>
  <c r="U14" i="39" l="1"/>
  <c r="H72" i="39"/>
  <c r="J34" i="39"/>
  <c r="L31" i="36"/>
  <c r="Q41" i="39"/>
  <c r="G21" i="40"/>
  <c r="X23" i="40"/>
  <c r="X71" i="12" s="1"/>
  <c r="X70" i="12" s="1"/>
  <c r="X37" i="53"/>
  <c r="G15" i="39"/>
  <c r="G31" i="36" s="1"/>
  <c r="K14" i="39"/>
  <c r="R14" i="39"/>
  <c r="E14" i="39"/>
  <c r="L41" i="39"/>
  <c r="Z14" i="39"/>
  <c r="T34" i="39"/>
  <c r="T14" i="39"/>
  <c r="AF74" i="39"/>
  <c r="AA74" i="39"/>
  <c r="AB74" i="39"/>
  <c r="L74" i="39"/>
  <c r="M74" i="39"/>
  <c r="X34" i="39"/>
  <c r="X14" i="39"/>
  <c r="V34" i="39"/>
  <c r="V14" i="39"/>
  <c r="Q35" i="39"/>
  <c r="Q15" i="39"/>
  <c r="D34" i="39"/>
  <c r="D14" i="39"/>
  <c r="AC14" i="39"/>
  <c r="P34" i="39"/>
  <c r="P14" i="39"/>
  <c r="H34" i="39"/>
  <c r="H14" i="39"/>
  <c r="Q74" i="39"/>
  <c r="V74" i="39"/>
  <c r="W74" i="39"/>
  <c r="Y34" i="39"/>
  <c r="Y14" i="39"/>
  <c r="AG74" i="39"/>
  <c r="AB34" i="39"/>
  <c r="AB14" i="39"/>
  <c r="V31" i="36"/>
  <c r="I34" i="39"/>
  <c r="I14" i="39"/>
  <c r="C14" i="39"/>
  <c r="AE34" i="39"/>
  <c r="AF15" i="39"/>
  <c r="AF34" i="39" s="1"/>
  <c r="AD15" i="39"/>
  <c r="L34" i="39"/>
  <c r="L14" i="39"/>
  <c r="AA35" i="39"/>
  <c r="AA15" i="39"/>
  <c r="AH42" i="36"/>
  <c r="AH44" i="36"/>
  <c r="AG35" i="36"/>
  <c r="AG12" i="36"/>
  <c r="AB27" i="36"/>
  <c r="AF27" i="36"/>
  <c r="AG18" i="37"/>
  <c r="AH25" i="37" s="1"/>
  <c r="AH22" i="37" s="1"/>
  <c r="AG22" i="37"/>
  <c r="AI6" i="36"/>
  <c r="AJ1" i="36"/>
  <c r="AI18" i="12"/>
  <c r="W70" i="12"/>
  <c r="G122" i="54"/>
  <c r="AJ1" i="12"/>
  <c r="AB11" i="40"/>
  <c r="AB10" i="39" s="1"/>
  <c r="AB32" i="8"/>
  <c r="AF26" i="8"/>
  <c r="T11" i="40"/>
  <c r="T10" i="39" s="1"/>
  <c r="T32" i="8"/>
  <c r="T39" i="8" s="1"/>
  <c r="AH1" i="39"/>
  <c r="AH13" i="12"/>
  <c r="AH14" i="12" s="1"/>
  <c r="AH41" i="12" s="1"/>
  <c r="C46" i="54"/>
  <c r="AH1" i="40"/>
  <c r="AH1" i="53"/>
  <c r="AH17" i="8"/>
  <c r="AH7" i="36" s="1"/>
  <c r="AH13" i="8"/>
  <c r="AH16" i="8"/>
  <c r="AI1" i="8"/>
  <c r="L11" i="40"/>
  <c r="L10" i="39" s="1"/>
  <c r="L32" i="8"/>
  <c r="L39" i="8" s="1"/>
  <c r="AI32" i="12"/>
  <c r="AG49" i="8"/>
  <c r="B53" i="54" s="1"/>
  <c r="AG60" i="8"/>
  <c r="AG74" i="8" s="1"/>
  <c r="AG80" i="8" s="1"/>
  <c r="AG23" i="8"/>
  <c r="AH62" i="8"/>
  <c r="AG63" i="8"/>
  <c r="AG77" i="8" s="1"/>
  <c r="AG83" i="8" s="1"/>
  <c r="AG29" i="8"/>
  <c r="AG36" i="8" s="1"/>
  <c r="AH60" i="8"/>
  <c r="AH49" i="8"/>
  <c r="C53" i="54" s="1"/>
  <c r="AG7" i="8"/>
  <c r="AG26" i="8" s="1"/>
  <c r="AG27" i="8"/>
  <c r="AG34" i="8" s="1"/>
  <c r="AG39" i="12"/>
  <c r="AG32" i="12"/>
  <c r="AH30" i="8"/>
  <c r="AH29" i="8"/>
  <c r="AH63" i="8"/>
  <c r="AG30" i="8"/>
  <c r="AG42" i="12"/>
  <c r="AG62" i="8"/>
  <c r="AG76" i="8" s="1"/>
  <c r="AG82" i="8" s="1"/>
  <c r="AH27" i="8"/>
  <c r="AH7" i="8"/>
  <c r="C48" i="54" s="1"/>
  <c r="AG41" i="12"/>
  <c r="AH39" i="12"/>
  <c r="AH32" i="12"/>
  <c r="AH42" i="12"/>
  <c r="AI56" i="39"/>
  <c r="AH73" i="39"/>
  <c r="AH74" i="39" s="1"/>
  <c r="H1" i="15"/>
  <c r="G69" i="15"/>
  <c r="G71" i="15" s="1"/>
  <c r="G13" i="15"/>
  <c r="AP5" i="36"/>
  <c r="AP6" i="40" s="1"/>
  <c r="AP7" i="37"/>
  <c r="O22" i="15"/>
  <c r="D31" i="40"/>
  <c r="D29" i="40"/>
  <c r="W44" i="40"/>
  <c r="W62" i="40" s="1"/>
  <c r="Z7" i="8"/>
  <c r="AE6" i="39"/>
  <c r="D37" i="53"/>
  <c r="Y16" i="40"/>
  <c r="Y31" i="40" s="1"/>
  <c r="X29" i="40"/>
  <c r="K7" i="8"/>
  <c r="AE7" i="8"/>
  <c r="AA21" i="40"/>
  <c r="AG39" i="36"/>
  <c r="AG11" i="36" s="1"/>
  <c r="AG9" i="36" s="1"/>
  <c r="L7" i="8"/>
  <c r="AA7" i="8"/>
  <c r="G7" i="8"/>
  <c r="AF7" i="8"/>
  <c r="X40" i="8"/>
  <c r="X5" i="39"/>
  <c r="V7" i="8"/>
  <c r="U7" i="8"/>
  <c r="I31" i="40"/>
  <c r="O7" i="8"/>
  <c r="T7" i="8"/>
  <c r="W19" i="40"/>
  <c r="P7" i="8"/>
  <c r="V27" i="40"/>
  <c r="F7" i="8"/>
  <c r="AB5" i="40"/>
  <c r="AB8" i="8" s="1"/>
  <c r="E7" i="8"/>
  <c r="AE29" i="40"/>
  <c r="AK46" i="39"/>
  <c r="AK54" i="39"/>
  <c r="I25" i="53"/>
  <c r="I2" i="53"/>
  <c r="I8" i="8"/>
  <c r="I9" i="39"/>
  <c r="I9" i="8"/>
  <c r="I10" i="8"/>
  <c r="I11" i="8"/>
  <c r="C25" i="53"/>
  <c r="C2" i="53"/>
  <c r="C9" i="39"/>
  <c r="C9" i="8"/>
  <c r="C10" i="8"/>
  <c r="C11" i="8"/>
  <c r="C8" i="8"/>
  <c r="I44" i="40"/>
  <c r="AC26" i="40"/>
  <c r="AC18" i="40"/>
  <c r="AD17" i="40"/>
  <c r="AB19" i="40"/>
  <c r="AB7" i="39"/>
  <c r="S25" i="53"/>
  <c r="S2" i="53"/>
  <c r="S9" i="39"/>
  <c r="S9" i="8"/>
  <c r="S10" i="8"/>
  <c r="S11" i="8"/>
  <c r="S8" i="8"/>
  <c r="AF37" i="53"/>
  <c r="AF5" i="39"/>
  <c r="AF6" i="39" s="1"/>
  <c r="AF29" i="40"/>
  <c r="AF40" i="8"/>
  <c r="AD25" i="53"/>
  <c r="AD2" i="53"/>
  <c r="AD9" i="39"/>
  <c r="AD11" i="8"/>
  <c r="AD8" i="8"/>
  <c r="AD9" i="8"/>
  <c r="AD10" i="8"/>
  <c r="V64" i="40"/>
  <c r="V21" i="40"/>
  <c r="K17" i="40"/>
  <c r="Y17" i="40"/>
  <c r="X18" i="40"/>
  <c r="X26" i="40"/>
  <c r="M44" i="40"/>
  <c r="M62" i="40" s="1"/>
  <c r="S37" i="53"/>
  <c r="S29" i="40"/>
  <c r="S23" i="40"/>
  <c r="S31" i="40"/>
  <c r="T16" i="40"/>
  <c r="T43" i="40" s="1"/>
  <c r="S5" i="39"/>
  <c r="S40" i="8"/>
  <c r="S33" i="8" s="1"/>
  <c r="S5" i="12" s="1"/>
  <c r="J25" i="53"/>
  <c r="J2" i="53"/>
  <c r="J9" i="39"/>
  <c r="J9" i="8"/>
  <c r="J10" i="8"/>
  <c r="J11" i="8"/>
  <c r="J8" i="8"/>
  <c r="D25" i="53"/>
  <c r="D2" i="53"/>
  <c r="D9" i="39"/>
  <c r="D10" i="8"/>
  <c r="D11" i="8"/>
  <c r="D8" i="8"/>
  <c r="D9" i="8"/>
  <c r="AA27" i="40"/>
  <c r="L27" i="40"/>
  <c r="S43" i="40"/>
  <c r="X25" i="53"/>
  <c r="X2" i="53"/>
  <c r="X9" i="39"/>
  <c r="X8" i="8"/>
  <c r="X9" i="8"/>
  <c r="X10" i="8"/>
  <c r="X11" i="8"/>
  <c r="N25" i="53"/>
  <c r="N2" i="53"/>
  <c r="N9" i="39"/>
  <c r="N11" i="8"/>
  <c r="N8" i="8"/>
  <c r="N9" i="8"/>
  <c r="N10" i="8"/>
  <c r="N37" i="53"/>
  <c r="O16" i="40"/>
  <c r="O26" i="40" s="1"/>
  <c r="N29" i="40"/>
  <c r="N5" i="39"/>
  <c r="N31" i="40"/>
  <c r="N40" i="8"/>
  <c r="N33" i="8" s="1"/>
  <c r="N5" i="12" s="1"/>
  <c r="AF64" i="40"/>
  <c r="G27" i="40"/>
  <c r="AB70" i="12"/>
  <c r="AE71" i="12"/>
  <c r="E37" i="53"/>
  <c r="F16" i="40"/>
  <c r="G16" i="40" s="1"/>
  <c r="E29" i="40"/>
  <c r="E5" i="39"/>
  <c r="W49" i="40"/>
  <c r="M5" i="40"/>
  <c r="E26" i="40"/>
  <c r="U42" i="40"/>
  <c r="X43" i="40"/>
  <c r="Y42" i="40"/>
  <c r="N43" i="40"/>
  <c r="O42" i="40"/>
  <c r="AE9" i="36"/>
  <c r="AF9" i="36" s="1"/>
  <c r="D44" i="40"/>
  <c r="D62" i="40" s="1"/>
  <c r="S26" i="40"/>
  <c r="T17" i="40"/>
  <c r="S18" i="40"/>
  <c r="P17" i="40"/>
  <c r="I37" i="53"/>
  <c r="J16" i="40"/>
  <c r="J26" i="40" s="1"/>
  <c r="I29" i="40"/>
  <c r="I5" i="39"/>
  <c r="I40" i="8"/>
  <c r="I33" i="8" s="1"/>
  <c r="I5" i="12" s="1"/>
  <c r="R25" i="53"/>
  <c r="R2" i="53"/>
  <c r="R9" i="39"/>
  <c r="R9" i="8"/>
  <c r="R10" i="8"/>
  <c r="R11" i="8"/>
  <c r="R8" i="8"/>
  <c r="W5" i="40"/>
  <c r="I43" i="40"/>
  <c r="J42" i="40"/>
  <c r="Q64" i="40"/>
  <c r="Q21" i="40"/>
  <c r="R44" i="40"/>
  <c r="N26" i="40"/>
  <c r="AD43" i="40"/>
  <c r="C44" i="40"/>
  <c r="C62" i="40" s="1"/>
  <c r="Q27" i="40"/>
  <c r="H44" i="40"/>
  <c r="H62" i="40" s="1"/>
  <c r="G17" i="40"/>
  <c r="AF31" i="40"/>
  <c r="AF27" i="40"/>
  <c r="L21" i="40"/>
  <c r="L64" i="40"/>
  <c r="R19" i="40"/>
  <c r="R7" i="39"/>
  <c r="AC2" i="53"/>
  <c r="AC25" i="53"/>
  <c r="AC9" i="39"/>
  <c r="AC10" i="8"/>
  <c r="AC11" i="8"/>
  <c r="AC9" i="8"/>
  <c r="AC8" i="8"/>
  <c r="AB44" i="40"/>
  <c r="AB62" i="40" s="1"/>
  <c r="H5" i="40"/>
  <c r="Y37" i="53"/>
  <c r="Z16" i="40"/>
  <c r="Y29" i="40"/>
  <c r="Y5" i="39"/>
  <c r="Y23" i="40"/>
  <c r="Y71" i="12" s="1"/>
  <c r="Y70" i="12" s="1"/>
  <c r="Y40" i="8"/>
  <c r="AE24" i="39"/>
  <c r="AF24" i="39" s="1"/>
  <c r="AI64" i="37"/>
  <c r="AI61" i="37" s="1"/>
  <c r="AI60" i="37" s="1"/>
  <c r="AH18" i="37"/>
  <c r="AI25" i="37" s="1"/>
  <c r="AI22" i="37" s="1"/>
  <c r="AI1" i="37"/>
  <c r="C110" i="54"/>
  <c r="AG24" i="12"/>
  <c r="AG21" i="37" s="1"/>
  <c r="AG20" i="37" s="1"/>
  <c r="AJ33" i="12"/>
  <c r="AJ49" i="12"/>
  <c r="AJ36" i="12"/>
  <c r="AJ50" i="12"/>
  <c r="AJ59" i="12"/>
  <c r="AJ61" i="12"/>
  <c r="AJ47" i="12"/>
  <c r="AJ35" i="12"/>
  <c r="AJ62" i="12"/>
  <c r="AJ21" i="12"/>
  <c r="AJ22" i="12"/>
  <c r="AJ19" i="12"/>
  <c r="AI53" i="8"/>
  <c r="AI52" i="8"/>
  <c r="AI11" i="8"/>
  <c r="AI10" i="8"/>
  <c r="AI24" i="8"/>
  <c r="AI50" i="8"/>
  <c r="AI8" i="8"/>
  <c r="G34" i="39" l="1"/>
  <c r="W63" i="40"/>
  <c r="W65" i="40" s="1"/>
  <c r="W66" i="40" s="1"/>
  <c r="G14" i="39"/>
  <c r="AE18" i="39"/>
  <c r="AF18" i="39" s="1"/>
  <c r="AD34" i="39"/>
  <c r="AD14" i="39"/>
  <c r="Q34" i="39"/>
  <c r="Q14" i="39"/>
  <c r="Q31" i="36"/>
  <c r="AA34" i="39"/>
  <c r="AA14" i="39"/>
  <c r="AJ6" i="36"/>
  <c r="AK1" i="36"/>
  <c r="AI44" i="36"/>
  <c r="AI42" i="36" s="1"/>
  <c r="AI18" i="36"/>
  <c r="AI7" i="8"/>
  <c r="AI26" i="8" s="1"/>
  <c r="AI27" i="8"/>
  <c r="AI60" i="8"/>
  <c r="AI49" i="8"/>
  <c r="D53" i="54" s="1"/>
  <c r="AI29" i="8"/>
  <c r="AI30" i="8"/>
  <c r="AI62" i="8"/>
  <c r="AI63" i="8"/>
  <c r="AJ18" i="12"/>
  <c r="AJ32" i="12"/>
  <c r="AH7" i="40"/>
  <c r="AH8" i="40" s="1"/>
  <c r="AH5" i="40"/>
  <c r="AH9" i="39" s="1"/>
  <c r="AF11" i="40"/>
  <c r="AF10" i="39" s="1"/>
  <c r="AF32" i="8"/>
  <c r="AH25" i="12"/>
  <c r="AH27" i="12"/>
  <c r="AH28" i="12"/>
  <c r="D46" i="54"/>
  <c r="AI1" i="53"/>
  <c r="AI1" i="39"/>
  <c r="AI13" i="12"/>
  <c r="AI14" i="12" s="1"/>
  <c r="AI17" i="8"/>
  <c r="AI7" i="36" s="1"/>
  <c r="AI13" i="8"/>
  <c r="AI16" i="8"/>
  <c r="AJ1" i="8"/>
  <c r="AI1" i="40"/>
  <c r="H122" i="54"/>
  <c r="AK1" i="12"/>
  <c r="AH65" i="8"/>
  <c r="AH15" i="8"/>
  <c r="AH14" i="8"/>
  <c r="G3" i="15"/>
  <c r="AI9" i="40" s="1"/>
  <c r="AH47" i="36"/>
  <c r="AH6" i="37"/>
  <c r="AG6" i="12"/>
  <c r="AG65" i="12" s="1"/>
  <c r="AF12" i="37"/>
  <c r="AG8" i="12"/>
  <c r="AG67" i="12" s="1"/>
  <c r="AG37" i="8"/>
  <c r="AG9" i="12" s="1"/>
  <c r="AG12" i="37"/>
  <c r="AH26" i="8"/>
  <c r="B48" i="54"/>
  <c r="AH38" i="12"/>
  <c r="AH74" i="40" s="1"/>
  <c r="AG38" i="12"/>
  <c r="AG74" i="40" s="1"/>
  <c r="AH59" i="8"/>
  <c r="AG73" i="8"/>
  <c r="AG79" i="8" s="1"/>
  <c r="AG59" i="8"/>
  <c r="AG11" i="40" s="1"/>
  <c r="AJ56" i="39"/>
  <c r="AI73" i="39"/>
  <c r="AI74" i="39" s="1"/>
  <c r="H13" i="15"/>
  <c r="H69" i="15"/>
  <c r="H71" i="15" s="1"/>
  <c r="I1" i="15"/>
  <c r="AQ5" i="36"/>
  <c r="AQ6" i="40" s="1"/>
  <c r="P22" i="15"/>
  <c r="AQ7" i="37"/>
  <c r="AB11" i="8"/>
  <c r="AB10" i="8"/>
  <c r="AB9" i="39"/>
  <c r="AE22" i="39" s="1"/>
  <c r="AF22" i="39" s="1"/>
  <c r="AB2" i="53"/>
  <c r="AB25" i="53"/>
  <c r="AB9" i="8"/>
  <c r="S7" i="8"/>
  <c r="R7" i="8"/>
  <c r="AL54" i="39"/>
  <c r="AL46" i="39"/>
  <c r="G37" i="53"/>
  <c r="G29" i="40"/>
  <c r="G5" i="39"/>
  <c r="G6" i="39" s="1"/>
  <c r="G18" i="39" s="1"/>
  <c r="G31" i="40"/>
  <c r="G26" i="40"/>
  <c r="J43" i="40"/>
  <c r="K42" i="40"/>
  <c r="O37" i="53"/>
  <c r="O29" i="40"/>
  <c r="O31" i="40"/>
  <c r="O40" i="8"/>
  <c r="O33" i="8" s="1"/>
  <c r="O5" i="12" s="1"/>
  <c r="P16" i="40"/>
  <c r="P26" i="40" s="1"/>
  <c r="O5" i="39"/>
  <c r="D7" i="8"/>
  <c r="X44" i="40"/>
  <c r="X62" i="40" s="1"/>
  <c r="AC19" i="40"/>
  <c r="AC7" i="39"/>
  <c r="AC7" i="8"/>
  <c r="H63" i="40"/>
  <c r="H65" i="40" s="1"/>
  <c r="H66" i="40" s="1"/>
  <c r="H49" i="40"/>
  <c r="F26" i="40"/>
  <c r="E44" i="40"/>
  <c r="E62" i="40" s="1"/>
  <c r="T37" i="53"/>
  <c r="U16" i="40"/>
  <c r="V16" i="40" s="1"/>
  <c r="T23" i="40"/>
  <c r="T29" i="40"/>
  <c r="T5" i="39"/>
  <c r="T40" i="8"/>
  <c r="T33" i="8" s="1"/>
  <c r="T5" i="12" s="1"/>
  <c r="T31" i="40"/>
  <c r="AC44" i="40"/>
  <c r="AC62" i="40" s="1"/>
  <c r="N44" i="40"/>
  <c r="N62" i="40" s="1"/>
  <c r="W25" i="53"/>
  <c r="W2" i="53"/>
  <c r="W9" i="39"/>
  <c r="W11" i="8"/>
  <c r="W8" i="8"/>
  <c r="W9" i="8"/>
  <c r="W10" i="8"/>
  <c r="O44" i="40"/>
  <c r="X7" i="39"/>
  <c r="X19" i="40"/>
  <c r="Z37" i="53"/>
  <c r="Z29" i="40"/>
  <c r="Z23" i="40"/>
  <c r="Z71" i="12" s="1"/>
  <c r="Z70" i="12" s="1"/>
  <c r="Z5" i="39"/>
  <c r="Z31" i="40"/>
  <c r="Z40" i="8"/>
  <c r="R49" i="40"/>
  <c r="R63" i="40"/>
  <c r="R65" i="40" s="1"/>
  <c r="R66" i="40" s="1"/>
  <c r="S19" i="40"/>
  <c r="S7" i="39"/>
  <c r="O43" i="40"/>
  <c r="P42" i="40"/>
  <c r="M2" i="53"/>
  <c r="M25" i="53"/>
  <c r="M9" i="39"/>
  <c r="M10" i="8"/>
  <c r="M11" i="8"/>
  <c r="M8" i="8"/>
  <c r="M9" i="8"/>
  <c r="F37" i="53"/>
  <c r="F29" i="40"/>
  <c r="F31" i="40"/>
  <c r="F5" i="39"/>
  <c r="I6" i="39" s="1"/>
  <c r="I18" i="39" s="1"/>
  <c r="Y18" i="40"/>
  <c r="Y26" i="40"/>
  <c r="Z17" i="40"/>
  <c r="I63" i="40"/>
  <c r="I65" i="40" s="1"/>
  <c r="I66" i="40" s="1"/>
  <c r="I49" i="40"/>
  <c r="R62" i="40"/>
  <c r="L17" i="40"/>
  <c r="AD7" i="8"/>
  <c r="I62" i="40"/>
  <c r="I7" i="8"/>
  <c r="H25" i="53"/>
  <c r="H2" i="53"/>
  <c r="H9" i="39"/>
  <c r="H8" i="8"/>
  <c r="H9" i="8"/>
  <c r="H10" i="8"/>
  <c r="H11" i="8"/>
  <c r="C63" i="40"/>
  <c r="C65" i="40" s="1"/>
  <c r="C49" i="40"/>
  <c r="U17" i="40"/>
  <c r="T18" i="40"/>
  <c r="T26" i="40"/>
  <c r="Y43" i="40"/>
  <c r="Z42" i="40"/>
  <c r="Z43" i="40" s="1"/>
  <c r="AE23" i="40"/>
  <c r="AE70" i="12"/>
  <c r="AF70" i="12" s="1"/>
  <c r="AF71" i="12" s="1"/>
  <c r="N7" i="8"/>
  <c r="J44" i="40"/>
  <c r="AA16" i="40"/>
  <c r="S44" i="40"/>
  <c r="X7" i="8"/>
  <c r="M63" i="40"/>
  <c r="M65" i="40" s="1"/>
  <c r="M66" i="40" s="1"/>
  <c r="M49" i="40"/>
  <c r="AB63" i="40"/>
  <c r="AB65" i="40" s="1"/>
  <c r="AB66" i="40" s="1"/>
  <c r="AB49" i="40"/>
  <c r="AE43" i="40"/>
  <c r="AF43" i="40"/>
  <c r="J37" i="53"/>
  <c r="K16" i="40"/>
  <c r="J29" i="40"/>
  <c r="J5" i="39"/>
  <c r="J31" i="40"/>
  <c r="J40" i="8"/>
  <c r="J33" i="8" s="1"/>
  <c r="J5" i="12" s="1"/>
  <c r="D63" i="40"/>
  <c r="D65" i="40" s="1"/>
  <c r="D49" i="40"/>
  <c r="W55" i="40"/>
  <c r="W51" i="40"/>
  <c r="J7" i="8"/>
  <c r="AD26" i="40"/>
  <c r="AE17" i="40"/>
  <c r="AD18" i="40"/>
  <c r="C7" i="8"/>
  <c r="Q17" i="40"/>
  <c r="AI58" i="37"/>
  <c r="AI18" i="37"/>
  <c r="AJ25" i="37" s="1"/>
  <c r="AJ22" i="37" s="1"/>
  <c r="D110" i="54"/>
  <c r="AJ1" i="37"/>
  <c r="AH71" i="8"/>
  <c r="AH70" i="8"/>
  <c r="AH68" i="8"/>
  <c r="AJ10" i="8"/>
  <c r="AJ50" i="8"/>
  <c r="AJ24" i="8"/>
  <c r="AJ11" i="8"/>
  <c r="AJ53" i="8"/>
  <c r="AJ52" i="8"/>
  <c r="AJ8" i="8"/>
  <c r="AK47" i="12"/>
  <c r="AK50" i="12"/>
  <c r="AK33" i="12"/>
  <c r="AK62" i="12"/>
  <c r="AK61" i="12"/>
  <c r="AK36" i="12"/>
  <c r="AK49" i="12"/>
  <c r="AK59" i="12"/>
  <c r="AK35" i="12"/>
  <c r="AK22" i="12"/>
  <c r="AK21" i="12"/>
  <c r="AK19" i="12"/>
  <c r="AK6" i="36" l="1"/>
  <c r="AL1" i="36"/>
  <c r="AJ44" i="36"/>
  <c r="AJ42" i="36" s="1"/>
  <c r="AJ18" i="36"/>
  <c r="D48" i="54"/>
  <c r="AH24" i="12"/>
  <c r="AH21" i="37" s="1"/>
  <c r="AH20" i="37" s="1"/>
  <c r="AG55" i="12"/>
  <c r="AI59" i="8"/>
  <c r="AI11" i="40" s="1"/>
  <c r="AI76" i="40" s="1"/>
  <c r="AK18" i="12"/>
  <c r="AK32" i="12"/>
  <c r="AJ27" i="8"/>
  <c r="AJ7" i="8"/>
  <c r="E48" i="54" s="1"/>
  <c r="AJ62" i="8"/>
  <c r="AJ63" i="8"/>
  <c r="AJ30" i="8"/>
  <c r="AJ60" i="8"/>
  <c r="AJ49" i="8"/>
  <c r="E53" i="54" s="1"/>
  <c r="AJ29" i="8"/>
  <c r="AH74" i="8"/>
  <c r="AH76" i="8"/>
  <c r="AH82" i="8" s="1"/>
  <c r="AH77" i="8"/>
  <c r="AH83" i="8" s="1"/>
  <c r="AH35" i="36"/>
  <c r="AB7" i="8"/>
  <c r="H3" i="15"/>
  <c r="AJ9" i="40" s="1"/>
  <c r="AI47" i="36"/>
  <c r="AI6" i="37"/>
  <c r="AH20" i="8"/>
  <c r="AH34" i="8" s="1"/>
  <c r="AH41" i="8" s="1"/>
  <c r="AH22" i="8"/>
  <c r="AH36" i="8" s="1"/>
  <c r="I122" i="54"/>
  <c r="AL1" i="12"/>
  <c r="AI7" i="40"/>
  <c r="AI8" i="40" s="1"/>
  <c r="AI5" i="40"/>
  <c r="AI9" i="39" s="1"/>
  <c r="AI28" i="12"/>
  <c r="AI25" i="12"/>
  <c r="AI41" i="12"/>
  <c r="AI27" i="12"/>
  <c r="AI39" i="12"/>
  <c r="AI42" i="12"/>
  <c r="AI15" i="8"/>
  <c r="AI14" i="8" s="1"/>
  <c r="AH23" i="8"/>
  <c r="AH37" i="8" s="1"/>
  <c r="AH44" i="8" s="1"/>
  <c r="E46" i="54"/>
  <c r="AJ1" i="53"/>
  <c r="AJ1" i="39"/>
  <c r="AJ13" i="12"/>
  <c r="AJ14" i="12" s="1"/>
  <c r="AJ17" i="8"/>
  <c r="AJ7" i="36" s="1"/>
  <c r="AJ13" i="8"/>
  <c r="AJ16" i="8"/>
  <c r="AK1" i="8"/>
  <c r="AJ1" i="40"/>
  <c r="AH12" i="37"/>
  <c r="AI65" i="8"/>
  <c r="AG53" i="12"/>
  <c r="AG46" i="12"/>
  <c r="AG33" i="8"/>
  <c r="AG40" i="8" s="1"/>
  <c r="AG16" i="40" s="1"/>
  <c r="AH11" i="40"/>
  <c r="AH76" i="40" s="1"/>
  <c r="AG5" i="12"/>
  <c r="AG58" i="12" s="1"/>
  <c r="AG56" i="12"/>
  <c r="AG68" i="12"/>
  <c r="AG64" i="12" s="1"/>
  <c r="AG67" i="8"/>
  <c r="AG76" i="40"/>
  <c r="AK56" i="39"/>
  <c r="AJ73" i="39"/>
  <c r="AJ74" i="39" s="1"/>
  <c r="J1" i="15"/>
  <c r="J3" i="15" s="1"/>
  <c r="I69" i="15"/>
  <c r="I71" i="15" s="1"/>
  <c r="I13" i="15"/>
  <c r="AR5" i="36"/>
  <c r="AR6" i="40" s="1"/>
  <c r="AR7" i="37"/>
  <c r="Q22" i="15"/>
  <c r="P43" i="40"/>
  <c r="J6" i="39"/>
  <c r="J18" i="39" s="1"/>
  <c r="Q16" i="40"/>
  <c r="Q43" i="40" s="1"/>
  <c r="AG37" i="40"/>
  <c r="H7" i="8"/>
  <c r="AG10" i="39"/>
  <c r="AG46" i="40"/>
  <c r="AG47" i="40"/>
  <c r="AG48" i="40"/>
  <c r="AM46" i="39"/>
  <c r="AM54" i="39"/>
  <c r="I20" i="39"/>
  <c r="I24" i="39"/>
  <c r="I22" i="39"/>
  <c r="AB55" i="40"/>
  <c r="AB59" i="40" s="1"/>
  <c r="AB51" i="40"/>
  <c r="J49" i="40"/>
  <c r="J63" i="40"/>
  <c r="J65" i="40" s="1"/>
  <c r="J66" i="40" s="1"/>
  <c r="T7" i="39"/>
  <c r="T19" i="40"/>
  <c r="O63" i="40"/>
  <c r="O65" i="40" s="1"/>
  <c r="O66" i="40" s="1"/>
  <c r="O49" i="40"/>
  <c r="P44" i="40"/>
  <c r="P62" i="40" s="1"/>
  <c r="W59" i="40"/>
  <c r="J20" i="39"/>
  <c r="J62" i="40"/>
  <c r="U26" i="40"/>
  <c r="U18" i="40"/>
  <c r="Z18" i="40"/>
  <c r="Z26" i="40"/>
  <c r="M7" i="8"/>
  <c r="O62" i="40"/>
  <c r="F44" i="40"/>
  <c r="Y44" i="40"/>
  <c r="Y62" i="40" s="1"/>
  <c r="Z6" i="39"/>
  <c r="Z18" i="39" s="1"/>
  <c r="AB6" i="39"/>
  <c r="AB18" i="39" s="1"/>
  <c r="AD6" i="39"/>
  <c r="AC6" i="39"/>
  <c r="AC18" i="39" s="1"/>
  <c r="N63" i="40"/>
  <c r="N65" i="40" s="1"/>
  <c r="N66" i="40" s="1"/>
  <c r="N49" i="40"/>
  <c r="X63" i="40"/>
  <c r="X65" i="40" s="1"/>
  <c r="X66" i="40" s="1"/>
  <c r="X49" i="40"/>
  <c r="AD19" i="40"/>
  <c r="AD7" i="39"/>
  <c r="D55" i="40"/>
  <c r="D59" i="40" s="1"/>
  <c r="D51" i="40"/>
  <c r="K37" i="53"/>
  <c r="K29" i="40"/>
  <c r="K31" i="40"/>
  <c r="K5" i="39"/>
  <c r="O6" i="39" s="1"/>
  <c r="O18" i="39" s="1"/>
  <c r="K40" i="8"/>
  <c r="K33" i="8" s="1"/>
  <c r="K5" i="12" s="1"/>
  <c r="S63" i="40"/>
  <c r="S65" i="40" s="1"/>
  <c r="S66" i="40" s="1"/>
  <c r="S49" i="40"/>
  <c r="K26" i="40"/>
  <c r="K44" i="40" s="1"/>
  <c r="Y19" i="40"/>
  <c r="Y7" i="39"/>
  <c r="G22" i="39"/>
  <c r="G20" i="39"/>
  <c r="G24" i="39"/>
  <c r="AE26" i="40"/>
  <c r="AE44" i="40" s="1"/>
  <c r="AE18" i="40"/>
  <c r="AF17" i="40"/>
  <c r="S62" i="40"/>
  <c r="C55" i="40"/>
  <c r="C51" i="40"/>
  <c r="F6" i="39"/>
  <c r="F18" i="39" s="1"/>
  <c r="H6" i="39"/>
  <c r="H18" i="39" s="1"/>
  <c r="AC63" i="40"/>
  <c r="AC65" i="40" s="1"/>
  <c r="AC66" i="40" s="1"/>
  <c r="AC49" i="40"/>
  <c r="U37" i="53"/>
  <c r="U29" i="40"/>
  <c r="U40" i="8"/>
  <c r="U33" i="8" s="1"/>
  <c r="U5" i="12" s="1"/>
  <c r="U5" i="39"/>
  <c r="U23" i="40"/>
  <c r="U31" i="40"/>
  <c r="H55" i="40"/>
  <c r="H51" i="40"/>
  <c r="AD44" i="40"/>
  <c r="M51" i="40"/>
  <c r="M55" i="40"/>
  <c r="W7" i="8"/>
  <c r="U43" i="40"/>
  <c r="L16" i="40"/>
  <c r="L26" i="40" s="1"/>
  <c r="AA37" i="53"/>
  <c r="AA29" i="40"/>
  <c r="AA5" i="39"/>
  <c r="AA6" i="39" s="1"/>
  <c r="AA18" i="39" s="1"/>
  <c r="AA40" i="8"/>
  <c r="AA23" i="40"/>
  <c r="AA71" i="12" s="1"/>
  <c r="AA70" i="12" s="1"/>
  <c r="AA43" i="40"/>
  <c r="AG43" i="40" s="1"/>
  <c r="AH43" i="40" s="1"/>
  <c r="AI43" i="40" s="1"/>
  <c r="AJ43" i="40" s="1"/>
  <c r="AK43" i="40" s="1"/>
  <c r="AL43" i="40" s="1"/>
  <c r="AM43" i="40" s="1"/>
  <c r="AN43" i="40" s="1"/>
  <c r="AO43" i="40" s="1"/>
  <c r="AP43" i="40" s="1"/>
  <c r="AQ43" i="40" s="1"/>
  <c r="AR43" i="40" s="1"/>
  <c r="AS43" i="40" s="1"/>
  <c r="AT43" i="40" s="1"/>
  <c r="AU43" i="40" s="1"/>
  <c r="AV43" i="40" s="1"/>
  <c r="AW43" i="40" s="1"/>
  <c r="AX43" i="40" s="1"/>
  <c r="AY43" i="40" s="1"/>
  <c r="AZ43" i="40" s="1"/>
  <c r="BA43" i="40" s="1"/>
  <c r="BB43" i="40" s="1"/>
  <c r="BC43" i="40" s="1"/>
  <c r="BD43" i="40" s="1"/>
  <c r="BE43" i="40" s="1"/>
  <c r="BF43" i="40" s="1"/>
  <c r="BG43" i="40" s="1"/>
  <c r="BH43" i="40" s="1"/>
  <c r="BI43" i="40" s="1"/>
  <c r="BJ43" i="40" s="1"/>
  <c r="BK43" i="40" s="1"/>
  <c r="BL43" i="40" s="1"/>
  <c r="BM43" i="40" s="1"/>
  <c r="BN43" i="40" s="1"/>
  <c r="BO43" i="40" s="1"/>
  <c r="BP43" i="40" s="1"/>
  <c r="BQ43" i="40" s="1"/>
  <c r="BR43" i="40" s="1"/>
  <c r="BS43" i="40" s="1"/>
  <c r="BT43" i="40" s="1"/>
  <c r="BU43" i="40" s="1"/>
  <c r="BV43" i="40" s="1"/>
  <c r="BW43" i="40" s="1"/>
  <c r="AA31" i="40"/>
  <c r="I55" i="40"/>
  <c r="I59" i="40" s="1"/>
  <c r="I51" i="40"/>
  <c r="R55" i="40"/>
  <c r="R51" i="40"/>
  <c r="V37" i="53"/>
  <c r="V43" i="40"/>
  <c r="V29" i="40"/>
  <c r="V5" i="39"/>
  <c r="V6" i="39" s="1"/>
  <c r="V18" i="39" s="1"/>
  <c r="V40" i="8"/>
  <c r="V31" i="40"/>
  <c r="V23" i="40"/>
  <c r="V71" i="12" s="1"/>
  <c r="V70" i="12" s="1"/>
  <c r="K43" i="40"/>
  <c r="V17" i="40"/>
  <c r="T44" i="40"/>
  <c r="E63" i="40"/>
  <c r="E65" i="40" s="1"/>
  <c r="E49" i="40"/>
  <c r="P37" i="53"/>
  <c r="P29" i="40"/>
  <c r="P5" i="39"/>
  <c r="T6" i="39" s="1"/>
  <c r="T18" i="39" s="1"/>
  <c r="P40" i="8"/>
  <c r="P33" i="8" s="1"/>
  <c r="P5" i="12" s="1"/>
  <c r="P31" i="40"/>
  <c r="AA17" i="40"/>
  <c r="AJ64" i="37"/>
  <c r="AJ61" i="37" s="1"/>
  <c r="AJ60" i="37" s="1"/>
  <c r="E110" i="54"/>
  <c r="AK1" i="37"/>
  <c r="AL35" i="12"/>
  <c r="AL59" i="12"/>
  <c r="AL61" i="12"/>
  <c r="AL62" i="12"/>
  <c r="AL49" i="12"/>
  <c r="AL36" i="12"/>
  <c r="AL50" i="12"/>
  <c r="AL47" i="12"/>
  <c r="AL33" i="12"/>
  <c r="AL19" i="12"/>
  <c r="AL21" i="12"/>
  <c r="AL22" i="12"/>
  <c r="AK50" i="8"/>
  <c r="AK8" i="8"/>
  <c r="AK53" i="8"/>
  <c r="AK52" i="8"/>
  <c r="AK11" i="8"/>
  <c r="AK10" i="8"/>
  <c r="AK24" i="8"/>
  <c r="AI71" i="8"/>
  <c r="AI70" i="8"/>
  <c r="AI68" i="8"/>
  <c r="Q31" i="40" l="1"/>
  <c r="AG30" i="40"/>
  <c r="Q40" i="8"/>
  <c r="Q33" i="8" s="1"/>
  <c r="Q5" i="12" s="1"/>
  <c r="Q5" i="39"/>
  <c r="Q6" i="39" s="1"/>
  <c r="Q18" i="39" s="1"/>
  <c r="Q26" i="40"/>
  <c r="Q37" i="53"/>
  <c r="Q29" i="40"/>
  <c r="J22" i="39"/>
  <c r="J24" i="39"/>
  <c r="AI35" i="36"/>
  <c r="AJ39" i="36" s="1"/>
  <c r="AH8" i="12"/>
  <c r="AH67" i="12" s="1"/>
  <c r="AL6" i="36"/>
  <c r="AM1" i="36"/>
  <c r="AK44" i="36"/>
  <c r="AK42" i="36" s="1"/>
  <c r="AK18" i="36"/>
  <c r="AH43" i="8"/>
  <c r="AH33" i="8"/>
  <c r="AH40" i="8" s="1"/>
  <c r="AI24" i="12"/>
  <c r="AI21" i="37" s="1"/>
  <c r="AI20" i="37" s="1"/>
  <c r="AH6" i="12"/>
  <c r="AH65" i="12" s="1"/>
  <c r="AI74" i="8"/>
  <c r="AI76" i="8"/>
  <c r="AI82" i="8" s="1"/>
  <c r="AI77" i="8"/>
  <c r="AI83" i="8" s="1"/>
  <c r="AK29" i="8"/>
  <c r="AK30" i="8"/>
  <c r="AK62" i="8"/>
  <c r="AK63" i="8"/>
  <c r="AK7" i="8"/>
  <c r="AK27" i="8"/>
  <c r="AK49" i="8"/>
  <c r="F53" i="54" s="1"/>
  <c r="AK60" i="8"/>
  <c r="AL18" i="12"/>
  <c r="AL32" i="12"/>
  <c r="AI20" i="8"/>
  <c r="AI34" i="8" s="1"/>
  <c r="AI22" i="8"/>
  <c r="AI36" i="8" s="1"/>
  <c r="AJ25" i="12"/>
  <c r="AJ28" i="12"/>
  <c r="AJ41" i="12"/>
  <c r="AJ42" i="12"/>
  <c r="AJ39" i="12"/>
  <c r="AJ27" i="12"/>
  <c r="AJ65" i="8"/>
  <c r="F46" i="54"/>
  <c r="AK1" i="53"/>
  <c r="AK1" i="39"/>
  <c r="AK13" i="12"/>
  <c r="AK14" i="12" s="1"/>
  <c r="AK16" i="8"/>
  <c r="AK13" i="8"/>
  <c r="AL1" i="8"/>
  <c r="AK1" i="40"/>
  <c r="AK17" i="8"/>
  <c r="AK7" i="36" s="1"/>
  <c r="AK6" i="37" s="1"/>
  <c r="AH9" i="12"/>
  <c r="AJ59" i="8"/>
  <c r="AJ15" i="8"/>
  <c r="J122" i="54"/>
  <c r="AM1" i="12"/>
  <c r="AJ23" i="8"/>
  <c r="AJ37" i="8" s="1"/>
  <c r="AJ14" i="8"/>
  <c r="AG52" i="12"/>
  <c r="AG70" i="12" s="1"/>
  <c r="I3" i="15"/>
  <c r="AK9" i="40" s="1"/>
  <c r="AJ47" i="36"/>
  <c r="AK47" i="36" s="1"/>
  <c r="AJ6" i="37"/>
  <c r="AJ26" i="8"/>
  <c r="AI12" i="37"/>
  <c r="AJ5" i="40"/>
  <c r="AJ9" i="39" s="1"/>
  <c r="AJ7" i="40"/>
  <c r="AJ8" i="40" s="1"/>
  <c r="AI38" i="12"/>
  <c r="AI74" i="40" s="1"/>
  <c r="AI23" i="8"/>
  <c r="AI37" i="8" s="1"/>
  <c r="AH80" i="8"/>
  <c r="AH73" i="8"/>
  <c r="AL56" i="39"/>
  <c r="AK73" i="39"/>
  <c r="AK74" i="39" s="1"/>
  <c r="AS7" i="37"/>
  <c r="R22" i="15"/>
  <c r="AS5" i="36"/>
  <c r="AS6" i="40" s="1"/>
  <c r="K1" i="15"/>
  <c r="K3" i="15" s="1"/>
  <c r="J69" i="15"/>
  <c r="J71" i="15" s="1"/>
  <c r="J13" i="15"/>
  <c r="AG77" i="40"/>
  <c r="AG42" i="40"/>
  <c r="AG45" i="40"/>
  <c r="AH37" i="40"/>
  <c r="AI10" i="39"/>
  <c r="AH10" i="39"/>
  <c r="AN54" i="39"/>
  <c r="AN46" i="39"/>
  <c r="T22" i="39"/>
  <c r="T20" i="39"/>
  <c r="T24" i="39"/>
  <c r="T63" i="40"/>
  <c r="T65" i="40" s="1"/>
  <c r="T66" i="40" s="1"/>
  <c r="T49" i="40"/>
  <c r="AA24" i="39"/>
  <c r="AA22" i="39"/>
  <c r="K63" i="40"/>
  <c r="K65" i="40" s="1"/>
  <c r="K49" i="40"/>
  <c r="T62" i="40"/>
  <c r="V22" i="39"/>
  <c r="V20" i="39"/>
  <c r="V24" i="39"/>
  <c r="M59" i="40"/>
  <c r="H59" i="40"/>
  <c r="AC55" i="40"/>
  <c r="AC59" i="40" s="1"/>
  <c r="AC51" i="40"/>
  <c r="S55" i="40"/>
  <c r="S59" i="40" s="1"/>
  <c r="S51" i="40"/>
  <c r="N55" i="40"/>
  <c r="N59" i="40" s="1"/>
  <c r="N51" i="40"/>
  <c r="Z44" i="40"/>
  <c r="C59" i="40"/>
  <c r="N67" i="40"/>
  <c r="Z19" i="40"/>
  <c r="Z7" i="39"/>
  <c r="AD8" i="39" s="1"/>
  <c r="AD45" i="39" s="1"/>
  <c r="O55" i="40"/>
  <c r="O59" i="40" s="1"/>
  <c r="O51" i="40"/>
  <c r="E51" i="40"/>
  <c r="E55" i="40"/>
  <c r="E59" i="40" s="1"/>
  <c r="V26" i="40"/>
  <c r="V18" i="40"/>
  <c r="K6" i="39"/>
  <c r="K18" i="39" s="1"/>
  <c r="M6" i="39"/>
  <c r="M18" i="39" s="1"/>
  <c r="N6" i="39"/>
  <c r="N18" i="39" s="1"/>
  <c r="AC22" i="39"/>
  <c r="AC24" i="39"/>
  <c r="U19" i="40"/>
  <c r="U7" i="39"/>
  <c r="Y8" i="39" s="1"/>
  <c r="Y45" i="39" s="1"/>
  <c r="AA26" i="40"/>
  <c r="AA18" i="40"/>
  <c r="L37" i="53"/>
  <c r="L43" i="40"/>
  <c r="L29" i="40"/>
  <c r="L40" i="8"/>
  <c r="L33" i="8" s="1"/>
  <c r="L5" i="12" s="1"/>
  <c r="L5" i="39"/>
  <c r="L6" i="39" s="1"/>
  <c r="L18" i="39" s="1"/>
  <c r="L31" i="40"/>
  <c r="AD22" i="39"/>
  <c r="AD24" i="39"/>
  <c r="AD18" i="39"/>
  <c r="F63" i="40"/>
  <c r="F65" i="40" s="1"/>
  <c r="J67" i="40" s="1"/>
  <c r="F49" i="40"/>
  <c r="G44" i="40"/>
  <c r="G63" i="40" s="1"/>
  <c r="G65" i="40" s="1"/>
  <c r="U44" i="40"/>
  <c r="U62" i="40" s="1"/>
  <c r="O22" i="39"/>
  <c r="O20" i="39"/>
  <c r="O24" i="39"/>
  <c r="AD63" i="40"/>
  <c r="AD65" i="40" s="1"/>
  <c r="AD66" i="40" s="1"/>
  <c r="AD49" i="40"/>
  <c r="W6" i="39"/>
  <c r="W18" i="39" s="1"/>
  <c r="U6" i="39"/>
  <c r="U18" i="39" s="1"/>
  <c r="X6" i="39"/>
  <c r="X18" i="39" s="1"/>
  <c r="Y6" i="39"/>
  <c r="Y18" i="39" s="1"/>
  <c r="H22" i="39"/>
  <c r="H20" i="39"/>
  <c r="H24" i="39"/>
  <c r="AF18" i="40"/>
  <c r="AF19" i="40" s="1"/>
  <c r="AF26" i="40"/>
  <c r="AF44" i="40" s="1"/>
  <c r="L44" i="40"/>
  <c r="AB22" i="39"/>
  <c r="AB24" i="39"/>
  <c r="F62" i="40"/>
  <c r="AD62" i="40"/>
  <c r="F22" i="39"/>
  <c r="F20" i="39"/>
  <c r="F24" i="39"/>
  <c r="AE19" i="40"/>
  <c r="AE7" i="39"/>
  <c r="AE8" i="39" s="1"/>
  <c r="Q20" i="39"/>
  <c r="X55" i="40"/>
  <c r="X51" i="40"/>
  <c r="Z24" i="39"/>
  <c r="Z22" i="39"/>
  <c r="P6" i="39"/>
  <c r="P18" i="39" s="1"/>
  <c r="R6" i="39"/>
  <c r="R18" i="39" s="1"/>
  <c r="S6" i="39"/>
  <c r="S18" i="39" s="1"/>
  <c r="R59" i="40"/>
  <c r="AE63" i="40"/>
  <c r="AE65" i="40" s="1"/>
  <c r="AE66" i="40" s="1"/>
  <c r="AE49" i="40"/>
  <c r="Y63" i="40"/>
  <c r="Y65" i="40" s="1"/>
  <c r="Y66" i="40" s="1"/>
  <c r="Y49" i="40"/>
  <c r="P63" i="40"/>
  <c r="P65" i="40" s="1"/>
  <c r="P49" i="40"/>
  <c r="Q44" i="40"/>
  <c r="Q62" i="40" s="1"/>
  <c r="J55" i="40"/>
  <c r="J59" i="40" s="1"/>
  <c r="J51" i="40"/>
  <c r="AJ58" i="37"/>
  <c r="AJ18" i="37"/>
  <c r="AK25" i="37" s="1"/>
  <c r="AK22" i="37" s="1"/>
  <c r="AG5" i="39"/>
  <c r="AG6" i="39" s="1"/>
  <c r="AG28" i="40"/>
  <c r="AG24" i="40"/>
  <c r="F110" i="54"/>
  <c r="AL1" i="37"/>
  <c r="AM33" i="12"/>
  <c r="AM36" i="12"/>
  <c r="AM47" i="12"/>
  <c r="AM59" i="12"/>
  <c r="AM49" i="12"/>
  <c r="AM62" i="12"/>
  <c r="AM50" i="12"/>
  <c r="AM61" i="12"/>
  <c r="AM35" i="12"/>
  <c r="AM19" i="12"/>
  <c r="AM21" i="12"/>
  <c r="AM22" i="12"/>
  <c r="AJ68" i="8"/>
  <c r="AJ70" i="8"/>
  <c r="AJ71" i="8"/>
  <c r="AL53" i="8"/>
  <c r="AL8" i="8"/>
  <c r="AL24" i="8"/>
  <c r="AL11" i="8"/>
  <c r="AL10" i="8"/>
  <c r="AL50" i="8"/>
  <c r="AL52" i="8"/>
  <c r="Q22" i="39" l="1"/>
  <c r="Q24" i="39"/>
  <c r="AG18" i="39"/>
  <c r="AH18" i="39" s="1"/>
  <c r="AI18" i="39"/>
  <c r="AJ18" i="39" s="1"/>
  <c r="AK18" i="39" s="1"/>
  <c r="AL18" i="39" s="1"/>
  <c r="AM18" i="39" s="1"/>
  <c r="AN18" i="39" s="1"/>
  <c r="AO18" i="39" s="1"/>
  <c r="AP18" i="39" s="1"/>
  <c r="AQ18" i="39" s="1"/>
  <c r="AR18" i="39" s="1"/>
  <c r="AS18" i="39" s="1"/>
  <c r="AT18" i="39" s="1"/>
  <c r="AU18" i="39" s="1"/>
  <c r="AV18" i="39" s="1"/>
  <c r="AW18" i="39" s="1"/>
  <c r="AX18" i="39" s="1"/>
  <c r="AY18" i="39" s="1"/>
  <c r="AZ18" i="39" s="1"/>
  <c r="BA18" i="39" s="1"/>
  <c r="BB18" i="39" s="1"/>
  <c r="BC18" i="39" s="1"/>
  <c r="BD18" i="39" s="1"/>
  <c r="BE18" i="39" s="1"/>
  <c r="BF18" i="39" s="1"/>
  <c r="BG18" i="39" s="1"/>
  <c r="BH18" i="39" s="1"/>
  <c r="BI18" i="39" s="1"/>
  <c r="BJ18" i="39" s="1"/>
  <c r="BK18" i="39" s="1"/>
  <c r="BL18" i="39" s="1"/>
  <c r="BM18" i="39" s="1"/>
  <c r="BN18" i="39" s="1"/>
  <c r="BO18" i="39" s="1"/>
  <c r="BP18" i="39" s="1"/>
  <c r="BQ18" i="39" s="1"/>
  <c r="BR18" i="39" s="1"/>
  <c r="BS18" i="39" s="1"/>
  <c r="BT18" i="39" s="1"/>
  <c r="BU18" i="39" s="1"/>
  <c r="BV18" i="39" s="1"/>
  <c r="BW18" i="39" s="1"/>
  <c r="AH5" i="12"/>
  <c r="AH58" i="12" s="1"/>
  <c r="AH55" i="12"/>
  <c r="AM6" i="36"/>
  <c r="AN1" i="36"/>
  <c r="AL44" i="36"/>
  <c r="AL42" i="36" s="1"/>
  <c r="AL18" i="36"/>
  <c r="AG71" i="12"/>
  <c r="AG23" i="40" s="1"/>
  <c r="AG22" i="40" s="1"/>
  <c r="AJ38" i="12"/>
  <c r="AJ74" i="40" s="1"/>
  <c r="AH53" i="12"/>
  <c r="AJ11" i="40"/>
  <c r="AJ10" i="39" s="1"/>
  <c r="AJ24" i="12"/>
  <c r="AJ21" i="37" s="1"/>
  <c r="AJ20" i="37" s="1"/>
  <c r="AL62" i="8"/>
  <c r="AL60" i="8"/>
  <c r="AL49" i="8"/>
  <c r="G53" i="54" s="1"/>
  <c r="AL29" i="8"/>
  <c r="AL30" i="8"/>
  <c r="AL27" i="8"/>
  <c r="AL7" i="8"/>
  <c r="AL63" i="8"/>
  <c r="AJ77" i="8"/>
  <c r="AJ83" i="8" s="1"/>
  <c r="AJ76" i="8"/>
  <c r="AJ82" i="8" s="1"/>
  <c r="AJ74" i="8"/>
  <c r="AM18" i="12"/>
  <c r="AM32" i="12"/>
  <c r="AK25" i="12"/>
  <c r="AK28" i="12"/>
  <c r="AK27" i="12"/>
  <c r="AK41" i="12"/>
  <c r="AK42" i="12"/>
  <c r="AK39" i="12"/>
  <c r="AJ20" i="8"/>
  <c r="AJ34" i="8" s="1"/>
  <c r="AJ22" i="8"/>
  <c r="AJ36" i="8" s="1"/>
  <c r="AK5" i="40"/>
  <c r="AK9" i="39" s="1"/>
  <c r="AK7" i="40"/>
  <c r="AK8" i="40" s="1"/>
  <c r="AJ35" i="36"/>
  <c r="F48" i="54"/>
  <c r="AK26" i="8"/>
  <c r="AJ12" i="37"/>
  <c r="AH68" i="12"/>
  <c r="AH64" i="12" s="1"/>
  <c r="AH56" i="12"/>
  <c r="AL1" i="40"/>
  <c r="AL1" i="53"/>
  <c r="AL1" i="39"/>
  <c r="AL13" i="12"/>
  <c r="AL14" i="12" s="1"/>
  <c r="G46" i="54"/>
  <c r="AM1" i="8"/>
  <c r="AL16" i="8"/>
  <c r="AL17" i="8"/>
  <c r="AL7" i="36" s="1"/>
  <c r="AL6" i="37" s="1"/>
  <c r="AL13" i="8"/>
  <c r="AG19" i="40"/>
  <c r="AG18" i="40" s="1"/>
  <c r="AG7" i="39" s="1"/>
  <c r="AG8" i="39" s="1"/>
  <c r="AK23" i="8"/>
  <c r="AK37" i="8" s="1"/>
  <c r="AK14" i="8"/>
  <c r="AK65" i="8"/>
  <c r="AH79" i="8"/>
  <c r="AH16" i="40" s="1"/>
  <c r="AH42" i="40" s="1"/>
  <c r="AH67" i="8"/>
  <c r="AJ44" i="8"/>
  <c r="AH46" i="12"/>
  <c r="AI44" i="8"/>
  <c r="AI9" i="12"/>
  <c r="AI43" i="8"/>
  <c r="AI8" i="12"/>
  <c r="K122" i="54"/>
  <c r="AN1" i="12"/>
  <c r="AI41" i="8"/>
  <c r="AI6" i="12"/>
  <c r="AI33" i="8"/>
  <c r="AI40" i="8" s="1"/>
  <c r="AK59" i="8"/>
  <c r="AK15" i="8"/>
  <c r="AL15" i="8" s="1"/>
  <c r="AI73" i="8"/>
  <c r="AI80" i="8"/>
  <c r="AM56" i="39"/>
  <c r="AL73" i="39"/>
  <c r="AL74" i="39" s="1"/>
  <c r="L1" i="15"/>
  <c r="L3" i="15" s="1"/>
  <c r="K13" i="15"/>
  <c r="AL9" i="40"/>
  <c r="AT7" i="37"/>
  <c r="AT5" i="36"/>
  <c r="AT6" i="40" s="1"/>
  <c r="S22" i="15"/>
  <c r="G67" i="40"/>
  <c r="G28" i="36" s="1"/>
  <c r="G29" i="36" s="1"/>
  <c r="G66" i="40"/>
  <c r="O67" i="40"/>
  <c r="K66" i="40"/>
  <c r="S67" i="40"/>
  <c r="P66" i="40"/>
  <c r="AG31" i="40"/>
  <c r="AE67" i="40"/>
  <c r="AE28" i="36" s="1"/>
  <c r="AE29" i="36" s="1"/>
  <c r="V44" i="40"/>
  <c r="V63" i="40" s="1"/>
  <c r="V65" i="40" s="1"/>
  <c r="AI37" i="40"/>
  <c r="AO46" i="39"/>
  <c r="AO54" i="39"/>
  <c r="AF7" i="39"/>
  <c r="AF8" i="39" s="1"/>
  <c r="W22" i="39"/>
  <c r="W20" i="39"/>
  <c r="W24" i="39"/>
  <c r="U63" i="40"/>
  <c r="U65" i="40" s="1"/>
  <c r="U66" i="40" s="1"/>
  <c r="U49" i="40"/>
  <c r="V49" i="40" s="1"/>
  <c r="AA19" i="40"/>
  <c r="AA7" i="39"/>
  <c r="AA8" i="39" s="1"/>
  <c r="AA45" i="39" s="1"/>
  <c r="T67" i="40"/>
  <c r="Y55" i="40"/>
  <c r="Y59" i="40" s="1"/>
  <c r="Y51" i="40"/>
  <c r="AD55" i="40"/>
  <c r="AD59" i="40" s="1"/>
  <c r="AD51" i="40"/>
  <c r="S24" i="39"/>
  <c r="S22" i="39"/>
  <c r="S20" i="39"/>
  <c r="N22" i="39"/>
  <c r="N20" i="39"/>
  <c r="N24" i="39"/>
  <c r="K55" i="40"/>
  <c r="K59" i="40" s="1"/>
  <c r="K51" i="40"/>
  <c r="L49" i="40"/>
  <c r="R20" i="39"/>
  <c r="R24" i="39"/>
  <c r="R22" i="39"/>
  <c r="X59" i="40"/>
  <c r="L22" i="39"/>
  <c r="AG22" i="39" s="1"/>
  <c r="L20" i="39"/>
  <c r="L24" i="39"/>
  <c r="BO24" i="39" s="1"/>
  <c r="M22" i="39"/>
  <c r="M20" i="39"/>
  <c r="M24" i="39"/>
  <c r="K67" i="40"/>
  <c r="M67" i="40"/>
  <c r="Q63" i="40"/>
  <c r="Q65" i="40" s="1"/>
  <c r="P22" i="39"/>
  <c r="P20" i="39"/>
  <c r="P24" i="39"/>
  <c r="F55" i="40"/>
  <c r="F59" i="40" s="1"/>
  <c r="G59" i="40" s="1"/>
  <c r="F51" i="40"/>
  <c r="G49" i="40"/>
  <c r="G51" i="40" s="1"/>
  <c r="K24" i="39"/>
  <c r="K22" i="39"/>
  <c r="K20" i="39"/>
  <c r="Y20" i="39"/>
  <c r="Y24" i="39"/>
  <c r="Y22" i="39"/>
  <c r="I67" i="40"/>
  <c r="H67" i="40"/>
  <c r="W8" i="39"/>
  <c r="W45" i="39" s="1"/>
  <c r="X8" i="39"/>
  <c r="X45" i="39" s="1"/>
  <c r="P55" i="40"/>
  <c r="P59" i="40" s="1"/>
  <c r="P51" i="40"/>
  <c r="Q49" i="40"/>
  <c r="L63" i="40"/>
  <c r="L65" i="40" s="1"/>
  <c r="X22" i="39"/>
  <c r="X20" i="39"/>
  <c r="X24" i="39"/>
  <c r="V19" i="40"/>
  <c r="V7" i="39"/>
  <c r="V8" i="39" s="1"/>
  <c r="V45" i="39" s="1"/>
  <c r="Z8" i="39"/>
  <c r="Z45" i="39" s="1"/>
  <c r="AB8" i="39"/>
  <c r="AB45" i="39" s="1"/>
  <c r="AC8" i="39"/>
  <c r="AC45" i="39" s="1"/>
  <c r="Z49" i="40"/>
  <c r="AA49" i="40" s="1"/>
  <c r="AA51" i="40" s="1"/>
  <c r="Z63" i="40"/>
  <c r="Z65" i="40" s="1"/>
  <c r="AA44" i="40"/>
  <c r="AA63" i="40" s="1"/>
  <c r="AA65" i="40" s="1"/>
  <c r="P67" i="40"/>
  <c r="R67" i="40"/>
  <c r="AF63" i="40"/>
  <c r="AF65" i="40" s="1"/>
  <c r="AF49" i="40"/>
  <c r="AF55" i="40" s="1"/>
  <c r="U22" i="39"/>
  <c r="U20" i="39"/>
  <c r="U24" i="39"/>
  <c r="Z62" i="40"/>
  <c r="T55" i="40"/>
  <c r="T51" i="40"/>
  <c r="L62" i="40"/>
  <c r="AK64" i="37"/>
  <c r="AK61" i="37" s="1"/>
  <c r="AK60" i="37" s="1"/>
  <c r="AG17" i="39"/>
  <c r="AG16" i="36" s="1"/>
  <c r="AG27" i="40"/>
  <c r="G110" i="54"/>
  <c r="AM1" i="37"/>
  <c r="AK71" i="8"/>
  <c r="AK68" i="8"/>
  <c r="AK70" i="8"/>
  <c r="AN35" i="12"/>
  <c r="AN19" i="12"/>
  <c r="AN22" i="12"/>
  <c r="AN36" i="12"/>
  <c r="AN59" i="12"/>
  <c r="AN47" i="12"/>
  <c r="AN61" i="12"/>
  <c r="AN50" i="12"/>
  <c r="AN33" i="12"/>
  <c r="AN62" i="12"/>
  <c r="AN21" i="12"/>
  <c r="AN49" i="12"/>
  <c r="AM11" i="8"/>
  <c r="AM10" i="8"/>
  <c r="AM8" i="8"/>
  <c r="AM53" i="8"/>
  <c r="AM52" i="8"/>
  <c r="AM50" i="8"/>
  <c r="AM24" i="8"/>
  <c r="AH22" i="39" l="1"/>
  <c r="AI22" i="39" s="1"/>
  <c r="AG21" i="36"/>
  <c r="AH52" i="12"/>
  <c r="AH70" i="12" s="1"/>
  <c r="AH71" i="12" s="1"/>
  <c r="AH23" i="40" s="1"/>
  <c r="AH22" i="40" s="1"/>
  <c r="AK35" i="36"/>
  <c r="AL35" i="36" s="1"/>
  <c r="AM35" i="36" s="1"/>
  <c r="AN35" i="36" s="1"/>
  <c r="AO35" i="36" s="1"/>
  <c r="AP35" i="36" s="1"/>
  <c r="AQ35" i="36" s="1"/>
  <c r="AR35" i="36" s="1"/>
  <c r="AS35" i="36" s="1"/>
  <c r="AT35" i="36" s="1"/>
  <c r="AU35" i="36" s="1"/>
  <c r="AV35" i="36" s="1"/>
  <c r="AW35" i="36" s="1"/>
  <c r="AX35" i="36" s="1"/>
  <c r="AY35" i="36" s="1"/>
  <c r="AZ35" i="36" s="1"/>
  <c r="BA35" i="36" s="1"/>
  <c r="BB35" i="36" s="1"/>
  <c r="BC35" i="36" s="1"/>
  <c r="BD35" i="36" s="1"/>
  <c r="BE35" i="36" s="1"/>
  <c r="BF35" i="36" s="1"/>
  <c r="BG35" i="36" s="1"/>
  <c r="BH35" i="36" s="1"/>
  <c r="BI35" i="36" s="1"/>
  <c r="BJ35" i="36" s="1"/>
  <c r="BK35" i="36" s="1"/>
  <c r="BL35" i="36" s="1"/>
  <c r="BM35" i="36" s="1"/>
  <c r="BN35" i="36" s="1"/>
  <c r="BO35" i="36" s="1"/>
  <c r="BP35" i="36" s="1"/>
  <c r="BQ35" i="36" s="1"/>
  <c r="BR35" i="36" s="1"/>
  <c r="BS35" i="36" s="1"/>
  <c r="BT35" i="36" s="1"/>
  <c r="BU35" i="36" s="1"/>
  <c r="BV35" i="36" s="1"/>
  <c r="BW35" i="36" s="1"/>
  <c r="AK39" i="36"/>
  <c r="AO1" i="36"/>
  <c r="AN6" i="36"/>
  <c r="AM44" i="36"/>
  <c r="AM42" i="36" s="1"/>
  <c r="AM18" i="36"/>
  <c r="B124" i="54"/>
  <c r="AJ76" i="40"/>
  <c r="AJ9" i="12"/>
  <c r="AJ56" i="12" s="1"/>
  <c r="AK24" i="12"/>
  <c r="AK21" i="37" s="1"/>
  <c r="AK20" i="37" s="1"/>
  <c r="AM60" i="8"/>
  <c r="AM49" i="8"/>
  <c r="H53" i="54" s="1"/>
  <c r="AM62" i="8"/>
  <c r="AM63" i="8"/>
  <c r="AM7" i="8"/>
  <c r="AM27" i="8"/>
  <c r="AM29" i="8"/>
  <c r="AM30" i="8"/>
  <c r="AN32" i="12"/>
  <c r="AN18" i="12"/>
  <c r="AK76" i="8"/>
  <c r="AK82" i="8" s="1"/>
  <c r="AK74" i="8"/>
  <c r="AK77" i="8"/>
  <c r="AK83" i="8" s="1"/>
  <c r="AI53" i="12"/>
  <c r="AI46" i="12"/>
  <c r="AI65" i="12"/>
  <c r="AI5" i="12"/>
  <c r="AI58" i="12" s="1"/>
  <c r="AL23" i="8"/>
  <c r="AL37" i="8" s="1"/>
  <c r="AL14" i="8"/>
  <c r="AL7" i="40"/>
  <c r="AL8" i="40" s="1"/>
  <c r="AL5" i="40"/>
  <c r="AL9" i="39" s="1"/>
  <c r="AL39" i="12"/>
  <c r="AL42" i="12"/>
  <c r="AL41" i="12"/>
  <c r="AL28" i="12"/>
  <c r="AL27" i="12"/>
  <c r="AL25" i="12"/>
  <c r="G48" i="54"/>
  <c r="AL26" i="8"/>
  <c r="AK12" i="37"/>
  <c r="AI55" i="12"/>
  <c r="AI67" i="12"/>
  <c r="AK22" i="8"/>
  <c r="AK36" i="8" s="1"/>
  <c r="AK20" i="8"/>
  <c r="AK34" i="8" s="1"/>
  <c r="AK38" i="12"/>
  <c r="AK74" i="40" s="1"/>
  <c r="AK44" i="8"/>
  <c r="AH77" i="40"/>
  <c r="AH5" i="39"/>
  <c r="AH6" i="39" s="1"/>
  <c r="AH17" i="39" s="1"/>
  <c r="AH16" i="36" s="1"/>
  <c r="AH26" i="36" s="1"/>
  <c r="AH30" i="40"/>
  <c r="AH28" i="40"/>
  <c r="AH24" i="40"/>
  <c r="AM1" i="53"/>
  <c r="H46" i="54"/>
  <c r="AM1" i="40"/>
  <c r="AM1" i="39"/>
  <c r="AM13" i="12"/>
  <c r="AM14" i="12" s="1"/>
  <c r="AN1" i="8"/>
  <c r="AM16" i="8"/>
  <c r="AM15" i="8" s="1"/>
  <c r="AM13" i="8"/>
  <c r="AM17" i="8"/>
  <c r="AM7" i="36" s="1"/>
  <c r="AM6" i="37" s="1"/>
  <c r="L122" i="54"/>
  <c r="AO1" i="12"/>
  <c r="AJ80" i="8"/>
  <c r="AJ73" i="8"/>
  <c r="AI68" i="12"/>
  <c r="AI56" i="12"/>
  <c r="AL65" i="8"/>
  <c r="AH19" i="40"/>
  <c r="AI19" i="40" s="1"/>
  <c r="AJ19" i="40" s="1"/>
  <c r="AK19" i="40" s="1"/>
  <c r="AK11" i="40"/>
  <c r="AJ8" i="12"/>
  <c r="AJ43" i="8"/>
  <c r="AL59" i="8"/>
  <c r="AI79" i="8"/>
  <c r="AI16" i="40" s="1"/>
  <c r="AI67" i="8"/>
  <c r="AJ6" i="12"/>
  <c r="AJ41" i="8"/>
  <c r="AJ33" i="8"/>
  <c r="AJ40" i="8" s="1"/>
  <c r="AN56" i="39"/>
  <c r="AM73" i="39"/>
  <c r="AM74" i="39" s="1"/>
  <c r="AU7" i="37"/>
  <c r="T22" i="15"/>
  <c r="AU5" i="36"/>
  <c r="AU6" i="40" s="1"/>
  <c r="M1" i="15"/>
  <c r="M3" i="15" s="1"/>
  <c r="L13" i="15"/>
  <c r="AM9" i="40"/>
  <c r="L67" i="40"/>
  <c r="L28" i="36" s="1"/>
  <c r="L29" i="36" s="1"/>
  <c r="L66" i="40"/>
  <c r="AA67" i="40"/>
  <c r="AA28" i="36" s="1"/>
  <c r="AA29" i="36" s="1"/>
  <c r="AA66" i="40"/>
  <c r="Q67" i="40"/>
  <c r="Q28" i="36" s="1"/>
  <c r="Q29" i="36" s="1"/>
  <c r="Q66" i="40"/>
  <c r="V67" i="40"/>
  <c r="V28" i="36" s="1"/>
  <c r="V29" i="36" s="1"/>
  <c r="V66" i="40"/>
  <c r="AD67" i="40"/>
  <c r="AD28" i="36" s="1"/>
  <c r="AD29" i="36" s="1"/>
  <c r="Z66" i="40"/>
  <c r="AF67" i="40"/>
  <c r="AF28" i="36" s="1"/>
  <c r="AF29" i="36" s="1"/>
  <c r="AF66" i="40"/>
  <c r="V62" i="40"/>
  <c r="BA24" i="39"/>
  <c r="AO24" i="39"/>
  <c r="BJ24" i="39"/>
  <c r="AH24" i="39"/>
  <c r="BR24" i="39"/>
  <c r="AP24" i="39"/>
  <c r="BC24" i="39"/>
  <c r="BF24" i="39"/>
  <c r="AR24" i="39"/>
  <c r="BS24" i="39"/>
  <c r="AQ24" i="39"/>
  <c r="AK24" i="39"/>
  <c r="AV24" i="39"/>
  <c r="AY24" i="39"/>
  <c r="AS24" i="39"/>
  <c r="BL24" i="39"/>
  <c r="BG24" i="39"/>
  <c r="AT24" i="39"/>
  <c r="BE24" i="39"/>
  <c r="L55" i="40"/>
  <c r="BH24" i="39"/>
  <c r="AM24" i="39"/>
  <c r="BU24" i="39"/>
  <c r="BW24" i="39"/>
  <c r="AG24" i="39"/>
  <c r="AG23" i="39" s="1"/>
  <c r="BQ24" i="39"/>
  <c r="BD24" i="39"/>
  <c r="BV24" i="39"/>
  <c r="AZ24" i="39"/>
  <c r="AL24" i="39"/>
  <c r="BK24" i="39"/>
  <c r="AW24" i="39"/>
  <c r="BN24" i="39"/>
  <c r="BP24" i="39"/>
  <c r="BB24" i="39"/>
  <c r="AN24" i="39"/>
  <c r="BM24" i="39"/>
  <c r="AI24" i="39"/>
  <c r="AJ24" i="39"/>
  <c r="BI24" i="39"/>
  <c r="AU24" i="39"/>
  <c r="BT24" i="39"/>
  <c r="AX24" i="39"/>
  <c r="AJ37" i="40"/>
  <c r="AP54" i="39"/>
  <c r="AP46" i="39"/>
  <c r="T59" i="40"/>
  <c r="Q51" i="40"/>
  <c r="AE45" i="39"/>
  <c r="AF45" i="39" s="1"/>
  <c r="AF59" i="40"/>
  <c r="AF51" i="40"/>
  <c r="Z67" i="40"/>
  <c r="AB67" i="40"/>
  <c r="AB28" i="36" s="1"/>
  <c r="AB29" i="36" s="1"/>
  <c r="AC67" i="40"/>
  <c r="AC28" i="36" s="1"/>
  <c r="AC29" i="36" s="1"/>
  <c r="Q59" i="40"/>
  <c r="L59" i="40"/>
  <c r="U55" i="40"/>
  <c r="U59" i="40" s="1"/>
  <c r="U51" i="40"/>
  <c r="Z55" i="40"/>
  <c r="Z51" i="40"/>
  <c r="Q55" i="40"/>
  <c r="U67" i="40"/>
  <c r="W67" i="40"/>
  <c r="X67" i="40"/>
  <c r="AG21" i="39"/>
  <c r="G55" i="40"/>
  <c r="V51" i="40"/>
  <c r="Y67" i="40"/>
  <c r="L51" i="40"/>
  <c r="AK58" i="37"/>
  <c r="AK18" i="37"/>
  <c r="AL25" i="37" s="1"/>
  <c r="AL22" i="37" s="1"/>
  <c r="H110" i="54"/>
  <c r="AN1" i="37"/>
  <c r="AN8" i="8"/>
  <c r="AN52" i="8"/>
  <c r="AN50" i="8"/>
  <c r="AN10" i="8"/>
  <c r="AN53" i="8"/>
  <c r="AN11" i="8"/>
  <c r="AN24" i="8"/>
  <c r="AO36" i="12"/>
  <c r="AO33" i="12"/>
  <c r="AO22" i="12"/>
  <c r="AO59" i="12"/>
  <c r="AO47" i="12"/>
  <c r="AO50" i="12"/>
  <c r="AO49" i="12"/>
  <c r="AO19" i="12"/>
  <c r="AO21" i="12"/>
  <c r="AO61" i="12"/>
  <c r="AO62" i="12"/>
  <c r="AO35" i="12"/>
  <c r="AL71" i="8"/>
  <c r="AL68" i="8"/>
  <c r="AL70" i="8"/>
  <c r="AL19" i="40" l="1"/>
  <c r="AG26" i="36"/>
  <c r="AH19" i="36"/>
  <c r="AH10" i="36" s="1"/>
  <c r="AH46" i="40" s="1"/>
  <c r="AH22" i="36"/>
  <c r="AN44" i="36"/>
  <c r="AN42" i="36" s="1"/>
  <c r="AN18" i="36"/>
  <c r="AP1" i="36"/>
  <c r="AO6" i="36"/>
  <c r="AJ68" i="12"/>
  <c r="C124" i="54"/>
  <c r="AH23" i="39"/>
  <c r="AL11" i="40"/>
  <c r="AL10" i="39" s="1"/>
  <c r="AI64" i="12"/>
  <c r="AK9" i="12"/>
  <c r="AK68" i="12" s="1"/>
  <c r="AL38" i="12"/>
  <c r="AL74" i="40" s="1"/>
  <c r="AL76" i="8"/>
  <c r="AL82" i="8" s="1"/>
  <c r="AL74" i="8"/>
  <c r="AL77" i="8"/>
  <c r="AL83" i="8" s="1"/>
  <c r="AO18" i="12"/>
  <c r="AO32" i="12"/>
  <c r="AN30" i="8"/>
  <c r="AN63" i="8"/>
  <c r="AN29" i="8"/>
  <c r="AN60" i="8"/>
  <c r="AN49" i="8"/>
  <c r="I53" i="54" s="1"/>
  <c r="AN62" i="8"/>
  <c r="AN7" i="8"/>
  <c r="I48" i="54" s="1"/>
  <c r="AN27" i="8"/>
  <c r="AM42" i="12"/>
  <c r="AM39" i="12"/>
  <c r="AM28" i="12"/>
  <c r="AM27" i="12"/>
  <c r="AM41" i="12"/>
  <c r="AM25" i="12"/>
  <c r="AK10" i="39"/>
  <c r="AK76" i="40"/>
  <c r="AI52" i="12"/>
  <c r="AI30" i="40"/>
  <c r="AH31" i="40"/>
  <c r="AJ67" i="12"/>
  <c r="AJ55" i="12"/>
  <c r="AM7" i="40"/>
  <c r="AM19" i="40" s="1"/>
  <c r="AM5" i="40"/>
  <c r="AM9" i="39" s="1"/>
  <c r="AL24" i="12"/>
  <c r="AL21" i="37" s="1"/>
  <c r="AL20" i="37" s="1"/>
  <c r="H48" i="54"/>
  <c r="AL12" i="37"/>
  <c r="AM26" i="8"/>
  <c r="AI77" i="40"/>
  <c r="AI42" i="40"/>
  <c r="AI28" i="40"/>
  <c r="AI24" i="40"/>
  <c r="AI5" i="39"/>
  <c r="AI6" i="39" s="1"/>
  <c r="AI17" i="39" s="1"/>
  <c r="AI16" i="36" s="1"/>
  <c r="AI26" i="36" s="1"/>
  <c r="AM65" i="8"/>
  <c r="AK41" i="8"/>
  <c r="AK6" i="12"/>
  <c r="AK33" i="8"/>
  <c r="AK40" i="8" s="1"/>
  <c r="M122" i="54"/>
  <c r="AP1" i="12"/>
  <c r="AJ65" i="12"/>
  <c r="AJ53" i="12"/>
  <c r="AJ46" i="12"/>
  <c r="AJ5" i="12"/>
  <c r="AJ58" i="12" s="1"/>
  <c r="AK43" i="8"/>
  <c r="AK8" i="12"/>
  <c r="AL22" i="8"/>
  <c r="AL36" i="8" s="1"/>
  <c r="AL20" i="8"/>
  <c r="AL34" i="8" s="1"/>
  <c r="AM23" i="8"/>
  <c r="AM37" i="8" s="1"/>
  <c r="AM14" i="8"/>
  <c r="AL44" i="8"/>
  <c r="AK80" i="8"/>
  <c r="AK73" i="8"/>
  <c r="I46" i="54"/>
  <c r="AN1" i="40"/>
  <c r="AN1" i="53"/>
  <c r="AO1" i="8"/>
  <c r="AN13" i="12"/>
  <c r="AN14" i="12" s="1"/>
  <c r="AN17" i="8"/>
  <c r="AN7" i="36" s="1"/>
  <c r="AN6" i="37" s="1"/>
  <c r="AN13" i="8"/>
  <c r="AN1" i="39"/>
  <c r="AN16" i="8"/>
  <c r="AN15" i="8" s="1"/>
  <c r="AH27" i="40"/>
  <c r="AH21" i="39"/>
  <c r="AJ67" i="8"/>
  <c r="AJ79" i="8"/>
  <c r="AJ16" i="40" s="1"/>
  <c r="AM59" i="8"/>
  <c r="AO56" i="39"/>
  <c r="AN73" i="39"/>
  <c r="AN74" i="39" s="1"/>
  <c r="AN9" i="40"/>
  <c r="N1" i="15"/>
  <c r="N3" i="15" s="1"/>
  <c r="M13" i="15"/>
  <c r="AV7" i="37"/>
  <c r="U22" i="15"/>
  <c r="AV5" i="36"/>
  <c r="AV6" i="40" s="1"/>
  <c r="AH18" i="40"/>
  <c r="AH7" i="39" s="1"/>
  <c r="AH8" i="39" s="1"/>
  <c r="AG16" i="39"/>
  <c r="AG35" i="39" s="1"/>
  <c r="AG45" i="39"/>
  <c r="AJ22" i="39"/>
  <c r="AK37" i="40"/>
  <c r="AQ54" i="39"/>
  <c r="AQ46" i="39"/>
  <c r="AI18" i="40"/>
  <c r="Z59" i="40"/>
  <c r="AA55" i="40"/>
  <c r="V55" i="40"/>
  <c r="V59" i="40"/>
  <c r="AL64" i="37"/>
  <c r="AL61" i="37" s="1"/>
  <c r="AL60" i="37" s="1"/>
  <c r="AO1" i="37"/>
  <c r="I110" i="54"/>
  <c r="AH21" i="36"/>
  <c r="AI22" i="36" s="1"/>
  <c r="AI19" i="36"/>
  <c r="AI10" i="36" s="1"/>
  <c r="AO8" i="8"/>
  <c r="AO53" i="8"/>
  <c r="AO10" i="8"/>
  <c r="AO24" i="8"/>
  <c r="AO50" i="8"/>
  <c r="AO52" i="8"/>
  <c r="AO11" i="8"/>
  <c r="AP19" i="12"/>
  <c r="AP36" i="12"/>
  <c r="AP21" i="12"/>
  <c r="AP35" i="12"/>
  <c r="AP47" i="12"/>
  <c r="AP61" i="12"/>
  <c r="AP62" i="12"/>
  <c r="AP50" i="12"/>
  <c r="AP22" i="12"/>
  <c r="AP59" i="12"/>
  <c r="AP33" i="12"/>
  <c r="AP49" i="12"/>
  <c r="AM70" i="8"/>
  <c r="AM68" i="8"/>
  <c r="AM71" i="8"/>
  <c r="AJ19" i="36" l="1"/>
  <c r="AJ10" i="36" s="1"/>
  <c r="AJ46" i="40" s="1"/>
  <c r="AO44" i="36"/>
  <c r="AO42" i="36" s="1"/>
  <c r="AO18" i="36"/>
  <c r="AL76" i="40"/>
  <c r="AP6" i="36"/>
  <c r="AQ1" i="36"/>
  <c r="AI21" i="36"/>
  <c r="AJ22" i="36" s="1"/>
  <c r="AK56" i="12"/>
  <c r="AI21" i="39"/>
  <c r="AI70" i="12"/>
  <c r="AI71" i="12" s="1"/>
  <c r="D124" i="54" s="1"/>
  <c r="AH16" i="39"/>
  <c r="AH35" i="39" s="1"/>
  <c r="AM24" i="12"/>
  <c r="AM21" i="37" s="1"/>
  <c r="AL9" i="12"/>
  <c r="AL68" i="12" s="1"/>
  <c r="AJ52" i="12"/>
  <c r="AJ30" i="40"/>
  <c r="AJ31" i="40" s="1"/>
  <c r="AJ64" i="12"/>
  <c r="AI23" i="39"/>
  <c r="AM77" i="8"/>
  <c r="AM83" i="8" s="1"/>
  <c r="AM74" i="8"/>
  <c r="AM76" i="8"/>
  <c r="AM82" i="8" s="1"/>
  <c r="AP32" i="12"/>
  <c r="AP18" i="12"/>
  <c r="AO30" i="8"/>
  <c r="AO62" i="8"/>
  <c r="AO60" i="8"/>
  <c r="AO49" i="8"/>
  <c r="J53" i="54" s="1"/>
  <c r="AO29" i="8"/>
  <c r="AO63" i="8"/>
  <c r="AO27" i="8"/>
  <c r="AO7" i="8"/>
  <c r="AO15" i="8"/>
  <c r="AN27" i="12"/>
  <c r="AN39" i="12"/>
  <c r="AN42" i="12"/>
  <c r="AN28" i="12"/>
  <c r="AN41" i="12"/>
  <c r="AN25" i="12"/>
  <c r="AK65" i="12"/>
  <c r="AK5" i="12"/>
  <c r="AK58" i="12" s="1"/>
  <c r="AK46" i="12"/>
  <c r="AK53" i="12"/>
  <c r="AN5" i="40"/>
  <c r="AN9" i="39" s="1"/>
  <c r="AN7" i="40"/>
  <c r="AN19" i="40" s="1"/>
  <c r="AK79" i="8"/>
  <c r="AK16" i="40" s="1"/>
  <c r="AK67" i="8"/>
  <c r="AI31" i="40"/>
  <c r="AN23" i="8"/>
  <c r="AN37" i="8" s="1"/>
  <c r="AN14" i="8"/>
  <c r="AL8" i="12"/>
  <c r="AL43" i="8"/>
  <c r="AN65" i="8"/>
  <c r="AM8" i="40"/>
  <c r="AK55" i="12"/>
  <c r="AK67" i="12"/>
  <c r="AQ1" i="12"/>
  <c r="N122" i="54"/>
  <c r="AM38" i="12"/>
  <c r="AM74" i="40" s="1"/>
  <c r="AL41" i="8"/>
  <c r="AL33" i="8"/>
  <c r="AL40" i="8" s="1"/>
  <c r="AL6" i="12"/>
  <c r="J46" i="54"/>
  <c r="AO1" i="40"/>
  <c r="AO1" i="53"/>
  <c r="AP1" i="8"/>
  <c r="AO1" i="39"/>
  <c r="AO17" i="8"/>
  <c r="AO7" i="36" s="1"/>
  <c r="AO6" i="37" s="1"/>
  <c r="AO16" i="8"/>
  <c r="AO13" i="8" s="1"/>
  <c r="AO13" i="12"/>
  <c r="AO14" i="12" s="1"/>
  <c r="AM22" i="8"/>
  <c r="AM36" i="8" s="1"/>
  <c r="AM20" i="8"/>
  <c r="AM34" i="8" s="1"/>
  <c r="AI27" i="40"/>
  <c r="AN26" i="8"/>
  <c r="AM12" i="37"/>
  <c r="AL80" i="8"/>
  <c r="AL73" i="8"/>
  <c r="AN59" i="8"/>
  <c r="AJ5" i="39"/>
  <c r="AJ6" i="39" s="1"/>
  <c r="AJ21" i="39" s="1"/>
  <c r="AJ24" i="40"/>
  <c r="AJ42" i="40"/>
  <c r="AJ77" i="40"/>
  <c r="AJ28" i="40"/>
  <c r="AM44" i="8"/>
  <c r="AM11" i="40"/>
  <c r="AP56" i="39"/>
  <c r="AO73" i="39"/>
  <c r="AO74" i="39" s="1"/>
  <c r="V22" i="15"/>
  <c r="AW5" i="36"/>
  <c r="AW6" i="40" s="1"/>
  <c r="AW7" i="37"/>
  <c r="AO9" i="40"/>
  <c r="N13" i="15"/>
  <c r="O1" i="15"/>
  <c r="O3" i="15" s="1"/>
  <c r="AG27" i="36"/>
  <c r="AG78" i="40" s="1"/>
  <c r="AH45" i="39"/>
  <c r="AI45" i="39" s="1"/>
  <c r="AJ45" i="39" s="1"/>
  <c r="AK45" i="39" s="1"/>
  <c r="AL45" i="39" s="1"/>
  <c r="AM45" i="39" s="1"/>
  <c r="AN45" i="39" s="1"/>
  <c r="AO45" i="39" s="1"/>
  <c r="AP45" i="39" s="1"/>
  <c r="AQ45" i="39" s="1"/>
  <c r="AR45" i="39" s="1"/>
  <c r="AS45" i="39" s="1"/>
  <c r="AT45" i="39" s="1"/>
  <c r="AU45" i="39" s="1"/>
  <c r="AV45" i="39" s="1"/>
  <c r="AW45" i="39" s="1"/>
  <c r="AX45" i="39" s="1"/>
  <c r="AY45" i="39" s="1"/>
  <c r="AZ45" i="39" s="1"/>
  <c r="BA45" i="39" s="1"/>
  <c r="BB45" i="39" s="1"/>
  <c r="BC45" i="39" s="1"/>
  <c r="BD45" i="39" s="1"/>
  <c r="BE45" i="39" s="1"/>
  <c r="BF45" i="39" s="1"/>
  <c r="BG45" i="39" s="1"/>
  <c r="BH45" i="39" s="1"/>
  <c r="BI45" i="39" s="1"/>
  <c r="BJ45" i="39" s="1"/>
  <c r="BK45" i="39" s="1"/>
  <c r="BL45" i="39" s="1"/>
  <c r="BM45" i="39" s="1"/>
  <c r="BN45" i="39" s="1"/>
  <c r="BO45" i="39" s="1"/>
  <c r="BP45" i="39" s="1"/>
  <c r="BQ45" i="39" s="1"/>
  <c r="BR45" i="39" s="1"/>
  <c r="BS45" i="39" s="1"/>
  <c r="BT45" i="39" s="1"/>
  <c r="BU45" i="39" s="1"/>
  <c r="BV45" i="39" s="1"/>
  <c r="BW45" i="39" s="1"/>
  <c r="AG44" i="39"/>
  <c r="AG71" i="39" s="1"/>
  <c r="AK22" i="39"/>
  <c r="AL37" i="40"/>
  <c r="AR46" i="39"/>
  <c r="AR54" i="39"/>
  <c r="AA59" i="40"/>
  <c r="AI7" i="39"/>
  <c r="AI8" i="39" s="1"/>
  <c r="AJ18" i="40"/>
  <c r="AF71" i="39"/>
  <c r="AF72" i="39" s="1"/>
  <c r="AL58" i="37"/>
  <c r="AL18" i="37"/>
  <c r="AM25" i="37" s="1"/>
  <c r="AM22" i="37" s="1"/>
  <c r="J110" i="54"/>
  <c r="AP1" i="37"/>
  <c r="AI46" i="40"/>
  <c r="AQ33" i="12"/>
  <c r="AQ50" i="12"/>
  <c r="AQ59" i="12"/>
  <c r="AQ62" i="12"/>
  <c r="AQ36" i="12"/>
  <c r="AQ19" i="12"/>
  <c r="AQ22" i="12"/>
  <c r="AQ61" i="12"/>
  <c r="AQ35" i="12"/>
  <c r="AQ47" i="12"/>
  <c r="AQ21" i="12"/>
  <c r="AQ49" i="12"/>
  <c r="AP52" i="8"/>
  <c r="AP24" i="8"/>
  <c r="AP8" i="8"/>
  <c r="AP10" i="8"/>
  <c r="AP11" i="8"/>
  <c r="AP53" i="8"/>
  <c r="AP50" i="8"/>
  <c r="AN71" i="8"/>
  <c r="AN70" i="8"/>
  <c r="AN68" i="8"/>
  <c r="AI44" i="39" l="1"/>
  <c r="AH44" i="39"/>
  <c r="AH71" i="39" s="1"/>
  <c r="AI16" i="39"/>
  <c r="AI35" i="39" s="1"/>
  <c r="AQ6" i="36"/>
  <c r="AR1" i="36"/>
  <c r="AP44" i="36"/>
  <c r="AP42" i="36" s="1"/>
  <c r="AP18" i="36"/>
  <c r="AI23" i="40"/>
  <c r="AI22" i="40" s="1"/>
  <c r="AJ70" i="12"/>
  <c r="AJ71" i="12" s="1"/>
  <c r="E124" i="54" s="1"/>
  <c r="AL56" i="12"/>
  <c r="AJ27" i="40"/>
  <c r="AM9" i="12"/>
  <c r="AM68" i="12" s="1"/>
  <c r="AN74" i="8"/>
  <c r="AN76" i="8"/>
  <c r="AN82" i="8" s="1"/>
  <c r="AN77" i="8"/>
  <c r="AN83" i="8" s="1"/>
  <c r="AP60" i="8"/>
  <c r="AP49" i="8"/>
  <c r="K53" i="54" s="1"/>
  <c r="AP63" i="8"/>
  <c r="AP30" i="8"/>
  <c r="AP29" i="8"/>
  <c r="AP7" i="8"/>
  <c r="K48" i="54" s="1"/>
  <c r="AP27" i="8"/>
  <c r="AP62" i="8"/>
  <c r="AQ18" i="12"/>
  <c r="AQ32" i="12"/>
  <c r="AO23" i="8"/>
  <c r="AO37" i="8" s="1"/>
  <c r="AO14" i="8"/>
  <c r="AK28" i="40"/>
  <c r="AK5" i="39"/>
  <c r="AK6" i="39" s="1"/>
  <c r="AK21" i="39" s="1"/>
  <c r="AK42" i="40"/>
  <c r="AK24" i="40"/>
  <c r="AK77" i="40"/>
  <c r="AK30" i="40"/>
  <c r="AK31" i="40" s="1"/>
  <c r="AO65" i="8"/>
  <c r="AO39" i="12"/>
  <c r="AO42" i="12"/>
  <c r="AO41" i="12"/>
  <c r="AO27" i="12"/>
  <c r="AO25" i="12"/>
  <c r="AO28" i="12"/>
  <c r="AP1" i="39"/>
  <c r="AP13" i="12"/>
  <c r="AP14" i="12" s="1"/>
  <c r="K46" i="54"/>
  <c r="AP1" i="40"/>
  <c r="AP1" i="53"/>
  <c r="AP17" i="8"/>
  <c r="AP7" i="36" s="1"/>
  <c r="AP6" i="37" s="1"/>
  <c r="AP16" i="8"/>
  <c r="AP13" i="8" s="1"/>
  <c r="AQ1" i="8"/>
  <c r="AN24" i="12"/>
  <c r="AN21" i="37" s="1"/>
  <c r="AO59" i="8"/>
  <c r="AJ17" i="39"/>
  <c r="AJ16" i="36" s="1"/>
  <c r="AJ23" i="39"/>
  <c r="AL55" i="12"/>
  <c r="AL67" i="12"/>
  <c r="AK52" i="12"/>
  <c r="AN22" i="8"/>
  <c r="AN36" i="8" s="1"/>
  <c r="AN20" i="8"/>
  <c r="AN34" i="8" s="1"/>
  <c r="AP15" i="8"/>
  <c r="AM10" i="39"/>
  <c r="AM76" i="40"/>
  <c r="AN11" i="40"/>
  <c r="AM6" i="12"/>
  <c r="AM41" i="8"/>
  <c r="AM33" i="8"/>
  <c r="AM40" i="8" s="1"/>
  <c r="AO7" i="40"/>
  <c r="AO19" i="40" s="1"/>
  <c r="AO5" i="40"/>
  <c r="AO9" i="39" s="1"/>
  <c r="AM43" i="8"/>
  <c r="AM8" i="12"/>
  <c r="O122" i="54"/>
  <c r="AR1" i="12"/>
  <c r="AN44" i="8"/>
  <c r="AO26" i="8"/>
  <c r="AN12" i="37"/>
  <c r="J48" i="54"/>
  <c r="AN8" i="40"/>
  <c r="AK64" i="12"/>
  <c r="AN38" i="12"/>
  <c r="AN74" i="40" s="1"/>
  <c r="AM80" i="8"/>
  <c r="AM73" i="8"/>
  <c r="AL79" i="8"/>
  <c r="AL16" i="40" s="1"/>
  <c r="AL67" i="8"/>
  <c r="AL65" i="12"/>
  <c r="AL46" i="12"/>
  <c r="AL5" i="12"/>
  <c r="AL58" i="12" s="1"/>
  <c r="AL53" i="12"/>
  <c r="AQ56" i="39"/>
  <c r="AP73" i="39"/>
  <c r="AP74" i="39" s="1"/>
  <c r="AP9" i="40"/>
  <c r="AX5" i="36"/>
  <c r="AX6" i="40" s="1"/>
  <c r="AX7" i="37"/>
  <c r="W22" i="15"/>
  <c r="P1" i="15"/>
  <c r="P3" i="15" s="1"/>
  <c r="O13" i="15"/>
  <c r="AH39" i="36"/>
  <c r="AH11" i="36" s="1"/>
  <c r="AH40" i="36"/>
  <c r="AH12" i="36" s="1"/>
  <c r="AH48" i="40" s="1"/>
  <c r="AG47" i="39"/>
  <c r="AG42" i="39" s="1"/>
  <c r="AG52" i="39"/>
  <c r="AG51" i="39" s="1"/>
  <c r="AG72" i="39"/>
  <c r="AG75" i="40" s="1"/>
  <c r="AL22" i="39"/>
  <c r="AM37" i="40"/>
  <c r="AS54" i="39"/>
  <c r="AS46" i="39"/>
  <c r="AJ7" i="39"/>
  <c r="AJ8" i="39" s="1"/>
  <c r="AJ44" i="39" s="1"/>
  <c r="AK18" i="40"/>
  <c r="AI71" i="39"/>
  <c r="AM64" i="37"/>
  <c r="AM61" i="37" s="1"/>
  <c r="AM60" i="37" s="1"/>
  <c r="AM20" i="37"/>
  <c r="AQ1" i="37"/>
  <c r="K110" i="54"/>
  <c r="AO70" i="8"/>
  <c r="AO71" i="8"/>
  <c r="AO68" i="8"/>
  <c r="AR35" i="12"/>
  <c r="AR49" i="12"/>
  <c r="AR22" i="12"/>
  <c r="AR47" i="12"/>
  <c r="AR21" i="12"/>
  <c r="AR59" i="12"/>
  <c r="AR33" i="12"/>
  <c r="AR36" i="12"/>
  <c r="AR19" i="12"/>
  <c r="AR61" i="12"/>
  <c r="AR50" i="12"/>
  <c r="AR62" i="12"/>
  <c r="AQ24" i="8"/>
  <c r="AQ50" i="8"/>
  <c r="AQ10" i="8"/>
  <c r="AQ8" i="8"/>
  <c r="AQ53" i="8"/>
  <c r="AQ11" i="8"/>
  <c r="AQ52" i="8"/>
  <c r="AO8" i="40" l="1"/>
  <c r="AR6" i="36"/>
  <c r="AS1" i="36"/>
  <c r="AQ44" i="36"/>
  <c r="AQ42" i="36" s="1"/>
  <c r="AQ18" i="36"/>
  <c r="AJ23" i="40"/>
  <c r="AJ22" i="40" s="1"/>
  <c r="AN9" i="12"/>
  <c r="AN68" i="12" s="1"/>
  <c r="AL52" i="12"/>
  <c r="AM56" i="12"/>
  <c r="AO11" i="40"/>
  <c r="AO10" i="39" s="1"/>
  <c r="AO24" i="12"/>
  <c r="AO21" i="37" s="1"/>
  <c r="AK27" i="40"/>
  <c r="AQ62" i="8"/>
  <c r="AQ30" i="8"/>
  <c r="AQ63" i="8"/>
  <c r="AQ7" i="8"/>
  <c r="AQ27" i="8"/>
  <c r="AQ29" i="8"/>
  <c r="AQ49" i="8"/>
  <c r="L53" i="54" s="1"/>
  <c r="AQ60" i="8"/>
  <c r="AR18" i="12"/>
  <c r="AR32" i="12"/>
  <c r="AO74" i="8"/>
  <c r="AO77" i="8"/>
  <c r="AO83" i="8" s="1"/>
  <c r="AO76" i="8"/>
  <c r="AO82" i="8" s="1"/>
  <c r="AP42" i="12"/>
  <c r="AP25" i="12"/>
  <c r="AP27" i="12"/>
  <c r="AP39" i="12"/>
  <c r="AP28" i="12"/>
  <c r="AP41" i="12"/>
  <c r="AP23" i="8"/>
  <c r="AP37" i="8" s="1"/>
  <c r="AP14" i="8"/>
  <c r="AN10" i="39"/>
  <c r="AN76" i="40"/>
  <c r="AP7" i="40"/>
  <c r="AP8" i="40" s="1"/>
  <c r="AP5" i="40"/>
  <c r="AP9" i="39" s="1"/>
  <c r="AK17" i="39"/>
  <c r="AK16" i="36" s="1"/>
  <c r="AK23" i="39"/>
  <c r="AM79" i="8"/>
  <c r="AM16" i="40" s="1"/>
  <c r="AM67" i="8"/>
  <c r="AO44" i="8"/>
  <c r="AM67" i="12"/>
  <c r="AM55" i="12"/>
  <c r="AO22" i="8"/>
  <c r="AO36" i="8" s="1"/>
  <c r="AO20" i="8"/>
  <c r="AO34" i="8" s="1"/>
  <c r="AJ16" i="39"/>
  <c r="AJ35" i="39" s="1"/>
  <c r="L46" i="54"/>
  <c r="AQ1" i="53"/>
  <c r="AQ1" i="39"/>
  <c r="AQ13" i="12"/>
  <c r="AQ14" i="12" s="1"/>
  <c r="AQ17" i="8"/>
  <c r="AQ7" i="36" s="1"/>
  <c r="AQ6" i="37" s="1"/>
  <c r="AQ1" i="40"/>
  <c r="AQ16" i="8"/>
  <c r="AQ13" i="8" s="1"/>
  <c r="AR1" i="8"/>
  <c r="AL30" i="40"/>
  <c r="AP59" i="8"/>
  <c r="AL64" i="12"/>
  <c r="AQ15" i="8"/>
  <c r="AJ26" i="36"/>
  <c r="AK19" i="36"/>
  <c r="AK10" i="36" s="1"/>
  <c r="AK46" i="40" s="1"/>
  <c r="AJ21" i="36"/>
  <c r="AK22" i="36" s="1"/>
  <c r="AO38" i="12"/>
  <c r="AO74" i="40" s="1"/>
  <c r="AL28" i="40"/>
  <c r="AL24" i="40"/>
  <c r="AL5" i="39"/>
  <c r="AL6" i="39" s="1"/>
  <c r="AL21" i="39" s="1"/>
  <c r="AL42" i="40"/>
  <c r="AL77" i="40"/>
  <c r="AK70" i="12"/>
  <c r="AK71" i="12" s="1"/>
  <c r="AN41" i="8"/>
  <c r="AN6" i="12"/>
  <c r="AN33" i="8"/>
  <c r="AN40" i="8" s="1"/>
  <c r="P122" i="54"/>
  <c r="AS1" i="12"/>
  <c r="AM5" i="12"/>
  <c r="AM58" i="12" s="1"/>
  <c r="AM46" i="12"/>
  <c r="AM65" i="12"/>
  <c r="AM53" i="12"/>
  <c r="AN43" i="8"/>
  <c r="AN8" i="12"/>
  <c r="AP65" i="8"/>
  <c r="AP26" i="8"/>
  <c r="AO12" i="37"/>
  <c r="AN80" i="8"/>
  <c r="AN73" i="8"/>
  <c r="AR56" i="39"/>
  <c r="AQ73" i="39"/>
  <c r="AQ74" i="39" s="1"/>
  <c r="AQ9" i="40"/>
  <c r="P13" i="15"/>
  <c r="Q1" i="15"/>
  <c r="Q3" i="15" s="1"/>
  <c r="AY5" i="36"/>
  <c r="AY6" i="40" s="1"/>
  <c r="X22" i="15"/>
  <c r="AY7" i="37"/>
  <c r="AH47" i="40"/>
  <c r="AH45" i="40" s="1"/>
  <c r="AH9" i="36"/>
  <c r="AH72" i="39"/>
  <c r="AH75" i="40" s="1"/>
  <c r="AM22" i="39"/>
  <c r="AN37" i="40"/>
  <c r="AT46" i="39"/>
  <c r="AT54" i="39"/>
  <c r="AL18" i="40"/>
  <c r="AJ71" i="39"/>
  <c r="AJ72" i="39" s="1"/>
  <c r="AJ75" i="40" s="1"/>
  <c r="AI72" i="39"/>
  <c r="AI75" i="40" s="1"/>
  <c r="AK7" i="39"/>
  <c r="AK8" i="39" s="1"/>
  <c r="AK44" i="39" s="1"/>
  <c r="AM58" i="37"/>
  <c r="AM18" i="37"/>
  <c r="AN25" i="37" s="1"/>
  <c r="AN22" i="37" s="1"/>
  <c r="L110" i="54"/>
  <c r="AR1" i="37"/>
  <c r="AP71" i="8"/>
  <c r="AP68" i="8"/>
  <c r="AP70" i="8"/>
  <c r="AS21" i="12"/>
  <c r="AS36" i="12"/>
  <c r="AS62" i="12"/>
  <c r="AS59" i="12"/>
  <c r="AS50" i="12"/>
  <c r="AS61" i="12"/>
  <c r="AS19" i="12"/>
  <c r="AS47" i="12"/>
  <c r="AS22" i="12"/>
  <c r="AS49" i="12"/>
  <c r="AS33" i="12"/>
  <c r="AS35" i="12"/>
  <c r="AR11" i="8"/>
  <c r="AR50" i="8"/>
  <c r="AR24" i="8"/>
  <c r="AR8" i="8"/>
  <c r="AR10" i="8"/>
  <c r="AR53" i="8"/>
  <c r="AR52" i="8"/>
  <c r="AS6" i="36" l="1"/>
  <c r="AT1" i="36"/>
  <c r="AR44" i="36"/>
  <c r="AR42" i="36" s="1"/>
  <c r="AR18" i="36"/>
  <c r="AM64" i="12"/>
  <c r="AN56" i="12"/>
  <c r="AL70" i="12"/>
  <c r="AL71" i="12" s="1"/>
  <c r="AL23" i="40" s="1"/>
  <c r="AL22" i="40" s="1"/>
  <c r="AM52" i="12"/>
  <c r="AK16" i="39"/>
  <c r="AK35" i="39" s="1"/>
  <c r="AO76" i="40"/>
  <c r="AO9" i="12"/>
  <c r="AO68" i="12" s="1"/>
  <c r="AP38" i="12"/>
  <c r="AP74" i="40" s="1"/>
  <c r="AQ59" i="8"/>
  <c r="AR62" i="8"/>
  <c r="AR63" i="8"/>
  <c r="AR29" i="8"/>
  <c r="AR7" i="8"/>
  <c r="M48" i="54" s="1"/>
  <c r="AR27" i="8"/>
  <c r="AR60" i="8"/>
  <c r="AR49" i="8"/>
  <c r="M53" i="54" s="1"/>
  <c r="AR30" i="8"/>
  <c r="AS32" i="12"/>
  <c r="AS18" i="12"/>
  <c r="AP76" i="8"/>
  <c r="AP82" i="8" s="1"/>
  <c r="AP74" i="8"/>
  <c r="AP77" i="8"/>
  <c r="AP83" i="8" s="1"/>
  <c r="AQ42" i="12"/>
  <c r="AQ39" i="12"/>
  <c r="AQ25" i="12"/>
  <c r="AQ27" i="12"/>
  <c r="AQ41" i="12"/>
  <c r="AQ28" i="12"/>
  <c r="AQ23" i="8"/>
  <c r="AQ37" i="8" s="1"/>
  <c r="AQ14" i="8"/>
  <c r="AL27" i="40"/>
  <c r="M46" i="54"/>
  <c r="AR1" i="53"/>
  <c r="AR1" i="39"/>
  <c r="AR13" i="12"/>
  <c r="AR14" i="12" s="1"/>
  <c r="AR17" i="8"/>
  <c r="AR7" i="36" s="1"/>
  <c r="AR6" i="37" s="1"/>
  <c r="AR1" i="40"/>
  <c r="AR16" i="8"/>
  <c r="AR15" i="8" s="1"/>
  <c r="AS1" i="8"/>
  <c r="AP20" i="8"/>
  <c r="AP34" i="8" s="1"/>
  <c r="AP22" i="8"/>
  <c r="AP36" i="8" s="1"/>
  <c r="AP24" i="12"/>
  <c r="AP21" i="37" s="1"/>
  <c r="AL31" i="40"/>
  <c r="AM30" i="40"/>
  <c r="AM28" i="40"/>
  <c r="AM24" i="40"/>
  <c r="AM5" i="39"/>
  <c r="AM6" i="39" s="1"/>
  <c r="AM21" i="39" s="1"/>
  <c r="AM42" i="40"/>
  <c r="AO8" i="12"/>
  <c r="AO43" i="8"/>
  <c r="AQ26" i="8"/>
  <c r="AP12" i="37"/>
  <c r="L48" i="54"/>
  <c r="AN79" i="8"/>
  <c r="AN16" i="40" s="1"/>
  <c r="AN67" i="8"/>
  <c r="AN46" i="12"/>
  <c r="AN53" i="12"/>
  <c r="AN5" i="12"/>
  <c r="AN58" i="12" s="1"/>
  <c r="AN65" i="12"/>
  <c r="AO33" i="8"/>
  <c r="AO40" i="8" s="1"/>
  <c r="AO6" i="12"/>
  <c r="AO41" i="8"/>
  <c r="AP44" i="8"/>
  <c r="AP19" i="40"/>
  <c r="AL17" i="39"/>
  <c r="AL16" i="36" s="1"/>
  <c r="AL23" i="39"/>
  <c r="Q122" i="54"/>
  <c r="AT1" i="12"/>
  <c r="AQ65" i="8"/>
  <c r="AN67" i="12"/>
  <c r="AN55" i="12"/>
  <c r="AP11" i="40"/>
  <c r="AQ7" i="40"/>
  <c r="AQ8" i="40" s="1"/>
  <c r="AQ5" i="40"/>
  <c r="AQ9" i="39" s="1"/>
  <c r="F124" i="54"/>
  <c r="AK23" i="40"/>
  <c r="AK22" i="40" s="1"/>
  <c r="AM77" i="40"/>
  <c r="AK26" i="36"/>
  <c r="AL19" i="36"/>
  <c r="AL10" i="36" s="1"/>
  <c r="AL46" i="40" s="1"/>
  <c r="AK21" i="36"/>
  <c r="AL22" i="36" s="1"/>
  <c r="AO80" i="8"/>
  <c r="AO73" i="8"/>
  <c r="AS56" i="39"/>
  <c r="AR73" i="39"/>
  <c r="AR74" i="39" s="1"/>
  <c r="AZ5" i="36"/>
  <c r="AZ6" i="40" s="1"/>
  <c r="AZ7" i="37"/>
  <c r="Y22" i="15"/>
  <c r="R1" i="15"/>
  <c r="R3" i="15" s="1"/>
  <c r="Q13" i="15"/>
  <c r="AR9" i="40"/>
  <c r="AN22" i="39"/>
  <c r="AO37" i="40"/>
  <c r="AU54" i="39"/>
  <c r="AU46" i="39"/>
  <c r="AF14" i="39"/>
  <c r="AL7" i="39"/>
  <c r="AL8" i="39" s="1"/>
  <c r="AL44" i="39" s="1"/>
  <c r="AK71" i="39"/>
  <c r="AK72" i="39" s="1"/>
  <c r="AK75" i="40" s="1"/>
  <c r="AM18" i="40"/>
  <c r="AN64" i="37"/>
  <c r="AN61" i="37" s="1"/>
  <c r="AN60" i="37" s="1"/>
  <c r="AN58" i="37"/>
  <c r="AN20" i="37"/>
  <c r="M110" i="54"/>
  <c r="AS1" i="37"/>
  <c r="AS24" i="8"/>
  <c r="AS10" i="8"/>
  <c r="AS50" i="8"/>
  <c r="AS52" i="8"/>
  <c r="AS11" i="8"/>
  <c r="AS8" i="8"/>
  <c r="AS53" i="8"/>
  <c r="AQ70" i="8"/>
  <c r="AQ68" i="8"/>
  <c r="AQ71" i="8"/>
  <c r="AT35" i="12"/>
  <c r="AT21" i="12"/>
  <c r="AT59" i="12"/>
  <c r="AT33" i="12"/>
  <c r="AT62" i="12"/>
  <c r="AT19" i="12"/>
  <c r="AT47" i="12"/>
  <c r="AT6" i="36" l="1"/>
  <c r="AU1" i="36"/>
  <c r="AS18" i="36"/>
  <c r="AS44" i="36"/>
  <c r="AS42" i="36" s="1"/>
  <c r="G124" i="54"/>
  <c r="AM70" i="12"/>
  <c r="AM71" i="12" s="1"/>
  <c r="AM23" i="40" s="1"/>
  <c r="AM22" i="40" s="1"/>
  <c r="AQ11" i="40"/>
  <c r="AQ76" i="40" s="1"/>
  <c r="AN64" i="12"/>
  <c r="AO56" i="12"/>
  <c r="AP9" i="12"/>
  <c r="AP68" i="12" s="1"/>
  <c r="AN52" i="12"/>
  <c r="AL16" i="39"/>
  <c r="AL35" i="39" s="1"/>
  <c r="AQ38" i="12"/>
  <c r="AQ74" i="40" s="1"/>
  <c r="AQ77" i="8"/>
  <c r="AQ83" i="8" s="1"/>
  <c r="AQ74" i="8"/>
  <c r="AQ76" i="8"/>
  <c r="AQ82" i="8" s="1"/>
  <c r="AS63" i="8"/>
  <c r="AS7" i="8"/>
  <c r="AS27" i="8"/>
  <c r="AS30" i="8"/>
  <c r="AS62" i="8"/>
  <c r="AS49" i="8"/>
  <c r="N53" i="54" s="1"/>
  <c r="AS60" i="8"/>
  <c r="AS29" i="8"/>
  <c r="AR39" i="12"/>
  <c r="AR25" i="12"/>
  <c r="AR42" i="12"/>
  <c r="AR41" i="12"/>
  <c r="AR27" i="12"/>
  <c r="AR28" i="12"/>
  <c r="AR8" i="40"/>
  <c r="R122" i="54"/>
  <c r="AU1" i="12"/>
  <c r="AQ44" i="8"/>
  <c r="AR59" i="8"/>
  <c r="AQ19" i="40"/>
  <c r="AR5" i="40"/>
  <c r="AR9" i="39" s="1"/>
  <c r="AR7" i="40"/>
  <c r="AO67" i="12"/>
  <c r="AO55" i="12"/>
  <c r="AR13" i="8"/>
  <c r="AQ24" i="12"/>
  <c r="AQ21" i="37" s="1"/>
  <c r="AN24" i="40"/>
  <c r="AN28" i="40"/>
  <c r="AN5" i="39"/>
  <c r="AN6" i="39" s="1"/>
  <c r="AN21" i="39" s="1"/>
  <c r="AN42" i="40"/>
  <c r="AP10" i="39"/>
  <c r="AP76" i="40"/>
  <c r="AM17" i="39"/>
  <c r="AM16" i="36" s="1"/>
  <c r="AM23" i="39"/>
  <c r="AR26" i="8"/>
  <c r="AQ12" i="37"/>
  <c r="AR65" i="8"/>
  <c r="AN30" i="40"/>
  <c r="AM31" i="40"/>
  <c r="AP8" i="12"/>
  <c r="AP43" i="8"/>
  <c r="AQ22" i="8"/>
  <c r="AQ36" i="8" s="1"/>
  <c r="AQ20" i="8"/>
  <c r="AQ34" i="8" s="1"/>
  <c r="AN77" i="40"/>
  <c r="AO65" i="12"/>
  <c r="AO53" i="12"/>
  <c r="AO46" i="12"/>
  <c r="AO5" i="12"/>
  <c r="AO58" i="12" s="1"/>
  <c r="AM27" i="40"/>
  <c r="AP33" i="8"/>
  <c r="AP40" i="8" s="1"/>
  <c r="AP6" i="12"/>
  <c r="AP41" i="8"/>
  <c r="AP80" i="8"/>
  <c r="AP73" i="8"/>
  <c r="AO67" i="8"/>
  <c r="AO79" i="8"/>
  <c r="AO16" i="40" s="1"/>
  <c r="AL26" i="36"/>
  <c r="AM19" i="36"/>
  <c r="AM10" i="36" s="1"/>
  <c r="AM46" i="40" s="1"/>
  <c r="AL21" i="36"/>
  <c r="AM22" i="36" s="1"/>
  <c r="N46" i="54"/>
  <c r="AS1" i="53"/>
  <c r="AS1" i="39"/>
  <c r="AS13" i="12"/>
  <c r="AS14" i="12" s="1"/>
  <c r="AS1" i="40"/>
  <c r="AS16" i="8"/>
  <c r="AS15" i="8" s="1"/>
  <c r="AT1" i="8"/>
  <c r="AS17" i="8"/>
  <c r="AS7" i="36" s="1"/>
  <c r="AS6" i="37" s="1"/>
  <c r="AT56" i="39"/>
  <c r="AS73" i="39"/>
  <c r="AS74" i="39" s="1"/>
  <c r="AS9" i="40"/>
  <c r="BA7" i="37"/>
  <c r="Z22" i="15"/>
  <c r="BA5" i="36"/>
  <c r="BA6" i="40" s="1"/>
  <c r="S1" i="15"/>
  <c r="S3" i="15" s="1"/>
  <c r="R13" i="15"/>
  <c r="AO22" i="39"/>
  <c r="AP37" i="40"/>
  <c r="AV46" i="39"/>
  <c r="AV54" i="39"/>
  <c r="AL71" i="39"/>
  <c r="AL72" i="39" s="1"/>
  <c r="AL75" i="40" s="1"/>
  <c r="AM7" i="39"/>
  <c r="AM8" i="39" s="1"/>
  <c r="AM44" i="39" s="1"/>
  <c r="AN18" i="40"/>
  <c r="AO64" i="37"/>
  <c r="AO61" i="37" s="1"/>
  <c r="AO60" i="37" s="1"/>
  <c r="AO58" i="37"/>
  <c r="AN18" i="37"/>
  <c r="AO25" i="37" s="1"/>
  <c r="AO22" i="37" s="1"/>
  <c r="N110" i="54"/>
  <c r="AT1" i="37"/>
  <c r="AT36" i="12"/>
  <c r="AT49" i="12"/>
  <c r="AT22" i="12"/>
  <c r="AT61" i="12"/>
  <c r="AT50" i="12"/>
  <c r="AU36" i="12"/>
  <c r="AU19" i="12"/>
  <c r="AU59" i="12"/>
  <c r="AR19" i="40" l="1"/>
  <c r="AT18" i="12"/>
  <c r="AT32" i="12"/>
  <c r="AU21" i="12"/>
  <c r="AU22" i="12"/>
  <c r="AU33" i="12"/>
  <c r="AU61" i="12"/>
  <c r="AU49" i="12"/>
  <c r="AU35" i="12"/>
  <c r="AU47" i="12"/>
  <c r="AU62" i="12"/>
  <c r="AU50" i="12"/>
  <c r="AR71" i="8"/>
  <c r="AR70" i="8"/>
  <c r="AR68" i="8"/>
  <c r="AT24" i="8"/>
  <c r="AT53" i="8"/>
  <c r="AT50" i="8"/>
  <c r="AT10" i="8"/>
  <c r="AT11" i="8"/>
  <c r="AT52" i="8"/>
  <c r="AT8" i="8"/>
  <c r="AU6" i="36" l="1"/>
  <c r="AV1" i="36"/>
  <c r="AT44" i="36"/>
  <c r="AT42" i="36" s="1"/>
  <c r="AT18" i="36"/>
  <c r="AP56" i="12"/>
  <c r="AQ10" i="39"/>
  <c r="AQ9" i="12"/>
  <c r="AQ68" i="12" s="1"/>
  <c r="H124" i="54"/>
  <c r="AN70" i="12"/>
  <c r="AN71" i="12" s="1"/>
  <c r="AN23" i="40" s="1"/>
  <c r="AN22" i="40" s="1"/>
  <c r="AM16" i="39"/>
  <c r="AM35" i="39" s="1"/>
  <c r="AR38" i="12"/>
  <c r="AR74" i="40" s="1"/>
  <c r="AO64" i="12"/>
  <c r="AT7" i="8"/>
  <c r="AT27" i="8"/>
  <c r="AT62" i="8"/>
  <c r="AT30" i="8"/>
  <c r="AT29" i="8"/>
  <c r="AT49" i="8"/>
  <c r="O53" i="54" s="1"/>
  <c r="AT60" i="8"/>
  <c r="AT63" i="8"/>
  <c r="AR74" i="8"/>
  <c r="AR76" i="8"/>
  <c r="AR82" i="8" s="1"/>
  <c r="AR77" i="8"/>
  <c r="AR83" i="8" s="1"/>
  <c r="AU32" i="12"/>
  <c r="AU18" i="12"/>
  <c r="AP67" i="12"/>
  <c r="AP55" i="12"/>
  <c r="AT1" i="40"/>
  <c r="AT1" i="53"/>
  <c r="AT1" i="39"/>
  <c r="AT13" i="12"/>
  <c r="AT14" i="12" s="1"/>
  <c r="O46" i="54"/>
  <c r="AU1" i="8"/>
  <c r="AT16" i="8"/>
  <c r="AT15" i="8" s="1"/>
  <c r="AT17" i="8"/>
  <c r="AT7" i="36" s="1"/>
  <c r="AT6" i="37" s="1"/>
  <c r="AP79" i="8"/>
  <c r="AP16" i="40" s="1"/>
  <c r="AP67" i="8"/>
  <c r="AO52" i="12"/>
  <c r="AR11" i="40"/>
  <c r="AO42" i="40"/>
  <c r="AO24" i="40"/>
  <c r="AO28" i="40"/>
  <c r="AO5" i="39"/>
  <c r="AO6" i="39" s="1"/>
  <c r="AO21" i="39" s="1"/>
  <c r="AM26" i="36"/>
  <c r="AN19" i="36"/>
  <c r="AN10" i="36" s="1"/>
  <c r="AN46" i="40" s="1"/>
  <c r="AM21" i="36"/>
  <c r="AN22" i="36" s="1"/>
  <c r="AN17" i="39"/>
  <c r="AN16" i="36" s="1"/>
  <c r="AN23" i="39"/>
  <c r="AS26" i="8"/>
  <c r="AR12" i="37"/>
  <c r="AS5" i="40"/>
  <c r="AS9" i="39" s="1"/>
  <c r="AS7" i="40"/>
  <c r="AS8" i="40" s="1"/>
  <c r="AO30" i="40"/>
  <c r="AN31" i="40"/>
  <c r="AN27" i="40"/>
  <c r="AS13" i="8"/>
  <c r="AR23" i="8"/>
  <c r="AR37" i="8" s="1"/>
  <c r="AR14" i="8"/>
  <c r="AP46" i="12"/>
  <c r="AP65" i="12"/>
  <c r="AP53" i="12"/>
  <c r="AP5" i="12"/>
  <c r="AP58" i="12" s="1"/>
  <c r="AQ6" i="12"/>
  <c r="AQ33" i="8"/>
  <c r="AQ40" i="8" s="1"/>
  <c r="AQ41" i="8"/>
  <c r="AS65" i="8"/>
  <c r="AS41" i="12"/>
  <c r="AS39" i="12"/>
  <c r="AS42" i="12"/>
  <c r="AS28" i="12"/>
  <c r="AS25" i="12"/>
  <c r="AS27" i="12"/>
  <c r="AQ8" i="12"/>
  <c r="AQ43" i="8"/>
  <c r="S122" i="54"/>
  <c r="AV1" i="12"/>
  <c r="AR24" i="12"/>
  <c r="AR21" i="37" s="1"/>
  <c r="AS59" i="8"/>
  <c r="AQ80" i="8"/>
  <c r="AQ73" i="8"/>
  <c r="AU56" i="39"/>
  <c r="AT73" i="39"/>
  <c r="AT74" i="39" s="1"/>
  <c r="AT9" i="40"/>
  <c r="BB7" i="37"/>
  <c r="AA22" i="15"/>
  <c r="BB5" i="36"/>
  <c r="BB6" i="40" s="1"/>
  <c r="T1" i="15"/>
  <c r="T3" i="15" s="1"/>
  <c r="S13" i="15"/>
  <c r="AP22" i="39"/>
  <c r="AQ37" i="40"/>
  <c r="AW54" i="39"/>
  <c r="AW46" i="39"/>
  <c r="AN7" i="39"/>
  <c r="AN8" i="39" s="1"/>
  <c r="AN44" i="39" s="1"/>
  <c r="AM71" i="39"/>
  <c r="AM72" i="39" s="1"/>
  <c r="AM75" i="40" s="1"/>
  <c r="AO18" i="40"/>
  <c r="AP64" i="37"/>
  <c r="AP61" i="37" s="1"/>
  <c r="AP60" i="37" s="1"/>
  <c r="AO20" i="37"/>
  <c r="AO77" i="40" s="1"/>
  <c r="O110" i="54"/>
  <c r="AU1" i="37"/>
  <c r="AS70" i="8"/>
  <c r="AS71" i="8"/>
  <c r="AS68" i="8"/>
  <c r="AV61" i="12"/>
  <c r="AV50" i="12"/>
  <c r="AV47" i="12"/>
  <c r="AV33" i="12"/>
  <c r="AV21" i="12"/>
  <c r="AV36" i="12"/>
  <c r="AV35" i="12"/>
  <c r="AV62" i="12"/>
  <c r="AV19" i="12"/>
  <c r="AV49" i="12"/>
  <c r="AV22" i="12"/>
  <c r="AV59" i="12"/>
  <c r="AU8" i="8"/>
  <c r="AU52" i="8"/>
  <c r="AU11" i="8"/>
  <c r="AU10" i="8"/>
  <c r="AU24" i="8"/>
  <c r="AU50" i="8"/>
  <c r="AU53" i="8"/>
  <c r="AP58" i="37" l="1"/>
  <c r="AW1" i="36"/>
  <c r="AV6" i="36"/>
  <c r="AU44" i="36"/>
  <c r="AU42" i="36" s="1"/>
  <c r="AU18" i="36"/>
  <c r="AQ56" i="12"/>
  <c r="I124" i="54"/>
  <c r="AS11" i="40"/>
  <c r="AS10" i="39" s="1"/>
  <c r="AO70" i="12"/>
  <c r="AO71" i="12" s="1"/>
  <c r="J124" i="54" s="1"/>
  <c r="AS24" i="12"/>
  <c r="AS21" i="37" s="1"/>
  <c r="AU63" i="8"/>
  <c r="AU60" i="8"/>
  <c r="AU49" i="8"/>
  <c r="P53" i="54" s="1"/>
  <c r="AU29" i="8"/>
  <c r="AU30" i="8"/>
  <c r="AU62" i="8"/>
  <c r="AU7" i="8"/>
  <c r="AU27" i="8"/>
  <c r="AV18" i="12"/>
  <c r="AV32" i="12"/>
  <c r="AS74" i="8"/>
  <c r="AS77" i="8"/>
  <c r="AS83" i="8" s="1"/>
  <c r="AS76" i="8"/>
  <c r="AS82" i="8" s="1"/>
  <c r="AU14" i="12"/>
  <c r="AT28" i="12"/>
  <c r="AT42" i="12"/>
  <c r="AT25" i="12"/>
  <c r="AT39" i="12"/>
  <c r="AT27" i="12"/>
  <c r="AT41" i="12"/>
  <c r="AR10" i="39"/>
  <c r="AR76" i="40"/>
  <c r="AR20" i="8"/>
  <c r="AR34" i="8" s="1"/>
  <c r="AR22" i="8"/>
  <c r="AR36" i="8" s="1"/>
  <c r="AN21" i="36"/>
  <c r="AO22" i="36" s="1"/>
  <c r="AO19" i="36"/>
  <c r="AO10" i="36" s="1"/>
  <c r="AO46" i="40" s="1"/>
  <c r="AN26" i="36"/>
  <c r="AU1" i="53"/>
  <c r="P46" i="54"/>
  <c r="AU1" i="40"/>
  <c r="AV1" i="8"/>
  <c r="AU16" i="8"/>
  <c r="AU15" i="8" s="1"/>
  <c r="AU1" i="39"/>
  <c r="AU13" i="12"/>
  <c r="AU17" i="8"/>
  <c r="AU7" i="36" s="1"/>
  <c r="AU6" i="37" s="1"/>
  <c r="AS19" i="40"/>
  <c r="T122" i="54"/>
  <c r="AW1" i="12"/>
  <c r="AS38" i="12"/>
  <c r="AS74" i="40" s="1"/>
  <c r="AP52" i="12"/>
  <c r="AP30" i="40"/>
  <c r="AO31" i="40"/>
  <c r="AQ65" i="12"/>
  <c r="AQ46" i="12"/>
  <c r="AQ5" i="12"/>
  <c r="AQ58" i="12" s="1"/>
  <c r="AQ53" i="12"/>
  <c r="AP64" i="12"/>
  <c r="AO23" i="39"/>
  <c r="AO17" i="39"/>
  <c r="AO16" i="36" s="1"/>
  <c r="AT7" i="40"/>
  <c r="AT8" i="40" s="1"/>
  <c r="AT5" i="40"/>
  <c r="AT9" i="39" s="1"/>
  <c r="AR44" i="8"/>
  <c r="AR9" i="12"/>
  <c r="AT59" i="8"/>
  <c r="AT13" i="8"/>
  <c r="AS23" i="8"/>
  <c r="AS37" i="8" s="1"/>
  <c r="AS14" i="8"/>
  <c r="AQ79" i="8"/>
  <c r="AQ16" i="40" s="1"/>
  <c r="AQ67" i="8"/>
  <c r="AQ67" i="12"/>
  <c r="AQ55" i="12"/>
  <c r="AO27" i="40"/>
  <c r="AP28" i="40"/>
  <c r="AP24" i="40"/>
  <c r="AP5" i="39"/>
  <c r="AP6" i="39" s="1"/>
  <c r="AP21" i="39" s="1"/>
  <c r="AP42" i="40"/>
  <c r="AT65" i="8"/>
  <c r="AN16" i="39"/>
  <c r="AN35" i="39" s="1"/>
  <c r="AR80" i="8"/>
  <c r="AR73" i="8"/>
  <c r="AS12" i="37"/>
  <c r="AT26" i="8"/>
  <c r="AV56" i="39"/>
  <c r="AU73" i="39"/>
  <c r="AU74" i="39" s="1"/>
  <c r="U1" i="15"/>
  <c r="U3" i="15" s="1"/>
  <c r="T13" i="15"/>
  <c r="BC7" i="37"/>
  <c r="AB22" i="15"/>
  <c r="BC5" i="36"/>
  <c r="BC6" i="40" s="1"/>
  <c r="AU9" i="40"/>
  <c r="AQ22" i="39"/>
  <c r="AR37" i="40"/>
  <c r="AX46" i="39"/>
  <c r="AX54" i="39"/>
  <c r="AO7" i="39"/>
  <c r="AO8" i="39" s="1"/>
  <c r="AO44" i="39" s="1"/>
  <c r="AP18" i="40"/>
  <c r="AN71" i="39"/>
  <c r="AN72" i="39" s="1"/>
  <c r="AN75" i="40" s="1"/>
  <c r="AQ64" i="37"/>
  <c r="AQ61" i="37" s="1"/>
  <c r="AQ60" i="37" s="1"/>
  <c r="AO18" i="37"/>
  <c r="AP25" i="37" s="1"/>
  <c r="AP22" i="37" s="1"/>
  <c r="P110" i="54"/>
  <c r="AV1" i="37"/>
  <c r="AV8" i="8"/>
  <c r="AV11" i="8"/>
  <c r="AV53" i="8"/>
  <c r="AV24" i="8"/>
  <c r="AV50" i="8"/>
  <c r="AV52" i="8"/>
  <c r="AV10" i="8"/>
  <c r="AW62" i="12"/>
  <c r="AW59" i="12"/>
  <c r="AW49" i="12"/>
  <c r="AW21" i="12"/>
  <c r="AW47" i="12"/>
  <c r="AW22" i="12"/>
  <c r="AW36" i="12"/>
  <c r="AW35" i="12"/>
  <c r="AW50" i="12"/>
  <c r="AW19" i="12"/>
  <c r="AW61" i="12"/>
  <c r="AW33" i="12"/>
  <c r="AT68" i="8"/>
  <c r="AT71" i="8"/>
  <c r="AT70" i="8"/>
  <c r="AT19" i="40" l="1"/>
  <c r="AV44" i="36"/>
  <c r="AV42" i="36" s="1"/>
  <c r="AV18" i="36"/>
  <c r="AX1" i="36"/>
  <c r="AW6" i="36"/>
  <c r="AT11" i="40"/>
  <c r="AT10" i="39" s="1"/>
  <c r="AO23" i="40"/>
  <c r="AO22" i="40" s="1"/>
  <c r="AS76" i="40"/>
  <c r="AP70" i="12"/>
  <c r="AP71" i="12" s="1"/>
  <c r="K124" i="54" s="1"/>
  <c r="AP27" i="40"/>
  <c r="AO16" i="39"/>
  <c r="AO35" i="39" s="1"/>
  <c r="AT76" i="8"/>
  <c r="AT82" i="8" s="1"/>
  <c r="AT77" i="8"/>
  <c r="AT83" i="8" s="1"/>
  <c r="AT74" i="8"/>
  <c r="AW32" i="12"/>
  <c r="AW18" i="12"/>
  <c r="AV29" i="8"/>
  <c r="AV62" i="8"/>
  <c r="AV60" i="8"/>
  <c r="AV49" i="8"/>
  <c r="Q53" i="54" s="1"/>
  <c r="AV63" i="8"/>
  <c r="AV30" i="8"/>
  <c r="AV27" i="8"/>
  <c r="AV7" i="8"/>
  <c r="AQ5" i="39"/>
  <c r="AQ6" i="39" s="1"/>
  <c r="AQ21" i="39" s="1"/>
  <c r="AQ24" i="40"/>
  <c r="AQ42" i="40"/>
  <c r="AQ28" i="40"/>
  <c r="AU25" i="12"/>
  <c r="AU42" i="12"/>
  <c r="AU28" i="12"/>
  <c r="AU41" i="12"/>
  <c r="AU39" i="12"/>
  <c r="AU27" i="12"/>
  <c r="AQ30" i="40"/>
  <c r="AP31" i="40"/>
  <c r="AQ52" i="12"/>
  <c r="AS22" i="8"/>
  <c r="AS36" i="8" s="1"/>
  <c r="AS20" i="8"/>
  <c r="AS34" i="8" s="1"/>
  <c r="AR79" i="8"/>
  <c r="AR67" i="8"/>
  <c r="AS9" i="12"/>
  <c r="AS44" i="8"/>
  <c r="AR8" i="12"/>
  <c r="AR43" i="8"/>
  <c r="AU13" i="8"/>
  <c r="AT23" i="8"/>
  <c r="AT37" i="8" s="1"/>
  <c r="AT14" i="8"/>
  <c r="AU65" i="8"/>
  <c r="AR56" i="12"/>
  <c r="AR68" i="12"/>
  <c r="AO26" i="36"/>
  <c r="AP19" i="36"/>
  <c r="AP10" i="36" s="1"/>
  <c r="AP46" i="40" s="1"/>
  <c r="AO21" i="36"/>
  <c r="AP22" i="36" s="1"/>
  <c r="U122" i="54"/>
  <c r="AX1" i="12"/>
  <c r="Q46" i="54"/>
  <c r="AV1" i="40"/>
  <c r="AV1" i="53"/>
  <c r="AW1" i="8"/>
  <c r="AV1" i="39"/>
  <c r="AV13" i="12"/>
  <c r="AV14" i="12" s="1"/>
  <c r="AV17" i="8"/>
  <c r="AV7" i="36" s="1"/>
  <c r="AV6" i="37" s="1"/>
  <c r="AV16" i="8"/>
  <c r="AV15" i="8" s="1"/>
  <c r="AR33" i="8"/>
  <c r="AR40" i="8" s="1"/>
  <c r="AR6" i="12"/>
  <c r="AR41" i="8"/>
  <c r="AT38" i="12"/>
  <c r="AT74" i="40" s="1"/>
  <c r="AU59" i="8"/>
  <c r="P48" i="54"/>
  <c r="AU26" i="8"/>
  <c r="AT12" i="37"/>
  <c r="AP23" i="39"/>
  <c r="AP17" i="39"/>
  <c r="AP16" i="36" s="1"/>
  <c r="AQ64" i="12"/>
  <c r="AU7" i="40"/>
  <c r="AU8" i="40" s="1"/>
  <c r="AU5" i="40"/>
  <c r="AU9" i="39" s="1"/>
  <c r="AT24" i="12"/>
  <c r="AT21" i="37" s="1"/>
  <c r="AS80" i="8"/>
  <c r="AS73" i="8"/>
  <c r="AW56" i="39"/>
  <c r="AV73" i="39"/>
  <c r="AV74" i="39" s="1"/>
  <c r="AV9" i="40"/>
  <c r="BD7" i="37"/>
  <c r="AC22" i="15"/>
  <c r="BD5" i="36"/>
  <c r="BD6" i="40" s="1"/>
  <c r="V1" i="15"/>
  <c r="V3" i="15" s="1"/>
  <c r="U13" i="15"/>
  <c r="AR22" i="39"/>
  <c r="AS37" i="40"/>
  <c r="AY54" i="39"/>
  <c r="AY46" i="39"/>
  <c r="AP7" i="39"/>
  <c r="AP8" i="39" s="1"/>
  <c r="AP44" i="39" s="1"/>
  <c r="AQ18" i="40"/>
  <c r="AO71" i="39"/>
  <c r="AO72" i="39" s="1"/>
  <c r="AO75" i="40" s="1"/>
  <c r="AQ58" i="37"/>
  <c r="AP20" i="37"/>
  <c r="AP77" i="40" s="1"/>
  <c r="Q110" i="54"/>
  <c r="AW1" i="37"/>
  <c r="AX36" i="12"/>
  <c r="AX62" i="12"/>
  <c r="AX61" i="12"/>
  <c r="AX47" i="12"/>
  <c r="AX50" i="12"/>
  <c r="AX22" i="12"/>
  <c r="AX19" i="12"/>
  <c r="AX21" i="12"/>
  <c r="AX49" i="12"/>
  <c r="AX59" i="12"/>
  <c r="AX33" i="12"/>
  <c r="AX35" i="12"/>
  <c r="AU71" i="8"/>
  <c r="AU68" i="8"/>
  <c r="AU70" i="8"/>
  <c r="AW50" i="8"/>
  <c r="AW52" i="8"/>
  <c r="AW11" i="8"/>
  <c r="AW53" i="8"/>
  <c r="AW24" i="8"/>
  <c r="AW8" i="8"/>
  <c r="AW10" i="8"/>
  <c r="AW44" i="36" l="1"/>
  <c r="AW42" i="36" s="1"/>
  <c r="AW18" i="36"/>
  <c r="AX6" i="36"/>
  <c r="AY1" i="36"/>
  <c r="AQ70" i="12"/>
  <c r="AQ71" i="12" s="1"/>
  <c r="L124" i="54" s="1"/>
  <c r="AP23" i="40"/>
  <c r="AP22" i="40" s="1"/>
  <c r="AT76" i="40"/>
  <c r="AU24" i="12"/>
  <c r="AU21" i="37" s="1"/>
  <c r="AW29" i="8"/>
  <c r="AW7" i="8"/>
  <c r="AW27" i="8"/>
  <c r="AW63" i="8"/>
  <c r="AW30" i="8"/>
  <c r="AW62" i="8"/>
  <c r="AW49" i="8"/>
  <c r="R53" i="54" s="1"/>
  <c r="AW60" i="8"/>
  <c r="AU76" i="8"/>
  <c r="AU82" i="8" s="1"/>
  <c r="AU74" i="8"/>
  <c r="AU77" i="8"/>
  <c r="AU83" i="8" s="1"/>
  <c r="AX32" i="12"/>
  <c r="AX18" i="12"/>
  <c r="AV28" i="12"/>
  <c r="AV25" i="12"/>
  <c r="AV42" i="12"/>
  <c r="AV39" i="12"/>
  <c r="AV41" i="12"/>
  <c r="AV27" i="12"/>
  <c r="AT22" i="8"/>
  <c r="AT36" i="8" s="1"/>
  <c r="AT20" i="8"/>
  <c r="AT34" i="8" s="1"/>
  <c r="AS56" i="12"/>
  <c r="AS68" i="12"/>
  <c r="AP21" i="36"/>
  <c r="AQ22" i="36" s="1"/>
  <c r="AP26" i="36"/>
  <c r="AQ19" i="36"/>
  <c r="AQ10" i="36" s="1"/>
  <c r="AQ46" i="40" s="1"/>
  <c r="AU19" i="40"/>
  <c r="AQ31" i="40"/>
  <c r="AQ17" i="39"/>
  <c r="AQ16" i="36" s="1"/>
  <c r="AQ23" i="39"/>
  <c r="AS79" i="8"/>
  <c r="AS67" i="8"/>
  <c r="AR65" i="12"/>
  <c r="AR53" i="12"/>
  <c r="AR46" i="12"/>
  <c r="AR5" i="12"/>
  <c r="AR58" i="12" s="1"/>
  <c r="AV7" i="40"/>
  <c r="AV8" i="40" s="1"/>
  <c r="AV5" i="40"/>
  <c r="AV9" i="39" s="1"/>
  <c r="AP16" i="39"/>
  <c r="AP35" i="39" s="1"/>
  <c r="R46" i="54"/>
  <c r="AW1" i="40"/>
  <c r="AW1" i="53"/>
  <c r="AW1" i="39"/>
  <c r="AW13" i="12"/>
  <c r="AW14" i="12" s="1"/>
  <c r="AW17" i="8"/>
  <c r="AW7" i="36" s="1"/>
  <c r="AW6" i="37" s="1"/>
  <c r="AX1" i="8"/>
  <c r="AW16" i="8"/>
  <c r="AW15" i="8" s="1"/>
  <c r="AV13" i="8"/>
  <c r="AU23" i="8"/>
  <c r="AU37" i="8" s="1"/>
  <c r="AU14" i="8"/>
  <c r="AV59" i="8"/>
  <c r="AR16" i="40"/>
  <c r="AV65" i="8"/>
  <c r="Q48" i="54"/>
  <c r="AU12" i="37"/>
  <c r="AV26" i="8"/>
  <c r="AT80" i="8"/>
  <c r="AT73" i="8"/>
  <c r="AU11" i="40"/>
  <c r="AY1" i="12"/>
  <c r="V122" i="54"/>
  <c r="AR55" i="12"/>
  <c r="AR67" i="12"/>
  <c r="AS6" i="12"/>
  <c r="AS33" i="8"/>
  <c r="AS40" i="8" s="1"/>
  <c r="AS41" i="8"/>
  <c r="AU38" i="12"/>
  <c r="AU74" i="40" s="1"/>
  <c r="AT44" i="8"/>
  <c r="AT9" i="12"/>
  <c r="AS8" i="12"/>
  <c r="AS43" i="8"/>
  <c r="AQ27" i="40"/>
  <c r="AX56" i="39"/>
  <c r="AW73" i="39"/>
  <c r="AW74" i="39" s="1"/>
  <c r="AW9" i="40"/>
  <c r="AD22" i="15"/>
  <c r="BE5" i="36"/>
  <c r="BE6" i="40" s="1"/>
  <c r="BE7" i="37"/>
  <c r="V13" i="15"/>
  <c r="W1" i="15"/>
  <c r="W3" i="15" s="1"/>
  <c r="AS22" i="39"/>
  <c r="AT37" i="40"/>
  <c r="AZ46" i="39"/>
  <c r="AZ54" i="39"/>
  <c r="AR18" i="40"/>
  <c r="AP71" i="39"/>
  <c r="AP72" i="39" s="1"/>
  <c r="AP75" i="40" s="1"/>
  <c r="AQ7" i="39"/>
  <c r="AQ8" i="39" s="1"/>
  <c r="AQ44" i="39" s="1"/>
  <c r="AR64" i="37"/>
  <c r="AR61" i="37" s="1"/>
  <c r="AR60" i="37" s="1"/>
  <c r="AP18" i="37"/>
  <c r="AQ25" i="37" s="1"/>
  <c r="AQ22" i="37" s="1"/>
  <c r="R110" i="54"/>
  <c r="AX1" i="37"/>
  <c r="AV71" i="8"/>
  <c r="AV70" i="8"/>
  <c r="AV68" i="8"/>
  <c r="AY62" i="12"/>
  <c r="AY36" i="12"/>
  <c r="AY19" i="12"/>
  <c r="AY21" i="12"/>
  <c r="AY59" i="12"/>
  <c r="AY33" i="12"/>
  <c r="AY22" i="12"/>
  <c r="AY61" i="12"/>
  <c r="AY35" i="12"/>
  <c r="AY50" i="12"/>
  <c r="AY49" i="12"/>
  <c r="AY47" i="12"/>
  <c r="AX52" i="8"/>
  <c r="AX50" i="8"/>
  <c r="AX11" i="8"/>
  <c r="AX8" i="8"/>
  <c r="AX10" i="8"/>
  <c r="AX24" i="8"/>
  <c r="AX53" i="8"/>
  <c r="AV19" i="40" l="1"/>
  <c r="AY6" i="36"/>
  <c r="AZ1" i="36"/>
  <c r="AX44" i="36"/>
  <c r="AX42" i="36" s="1"/>
  <c r="AX18" i="36"/>
  <c r="AQ23" i="40"/>
  <c r="AQ22" i="40" s="1"/>
  <c r="AQ16" i="39"/>
  <c r="AQ35" i="39" s="1"/>
  <c r="AV11" i="40"/>
  <c r="AV10" i="39" s="1"/>
  <c r="AX63" i="8"/>
  <c r="AX29" i="8"/>
  <c r="AX27" i="8"/>
  <c r="AX7" i="8"/>
  <c r="AX30" i="8"/>
  <c r="AX60" i="8"/>
  <c r="AX49" i="8"/>
  <c r="S53" i="54" s="1"/>
  <c r="AX62" i="8"/>
  <c r="AY32" i="12"/>
  <c r="AY18" i="12"/>
  <c r="AV74" i="8"/>
  <c r="AV76" i="8"/>
  <c r="AV82" i="8" s="1"/>
  <c r="AV77" i="8"/>
  <c r="AV83" i="8" s="1"/>
  <c r="AW41" i="12"/>
  <c r="AW28" i="12"/>
  <c r="AW27" i="12"/>
  <c r="AW25" i="12"/>
  <c r="AW39" i="12"/>
  <c r="AW42" i="12"/>
  <c r="AS5" i="12"/>
  <c r="AS58" i="12" s="1"/>
  <c r="AS53" i="12"/>
  <c r="AS65" i="12"/>
  <c r="AS46" i="12"/>
  <c r="AT79" i="8"/>
  <c r="AT67" i="8"/>
  <c r="AV24" i="12"/>
  <c r="AV21" i="37" s="1"/>
  <c r="AW59" i="8"/>
  <c r="AT43" i="8"/>
  <c r="AT8" i="12"/>
  <c r="AS67" i="12"/>
  <c r="AS55" i="12"/>
  <c r="AX1" i="39"/>
  <c r="AX13" i="12"/>
  <c r="AX14" i="12" s="1"/>
  <c r="S46" i="54"/>
  <c r="AX1" i="40"/>
  <c r="AX1" i="53"/>
  <c r="AX17" i="8"/>
  <c r="AX7" i="36" s="1"/>
  <c r="AX6" i="37" s="1"/>
  <c r="AX16" i="8"/>
  <c r="AX15" i="8" s="1"/>
  <c r="AY1" i="8"/>
  <c r="W122" i="54"/>
  <c r="AZ1" i="12"/>
  <c r="AQ21" i="36"/>
  <c r="AR22" i="36" s="1"/>
  <c r="AQ26" i="36"/>
  <c r="AR19" i="36"/>
  <c r="AR10" i="36" s="1"/>
  <c r="AR46" i="40" s="1"/>
  <c r="AT56" i="12"/>
  <c r="AT68" i="12"/>
  <c r="AU10" i="39"/>
  <c r="AU76" i="40"/>
  <c r="AU22" i="8"/>
  <c r="AU36" i="8" s="1"/>
  <c r="AU20" i="8"/>
  <c r="AU34" i="8" s="1"/>
  <c r="AT41" i="8"/>
  <c r="AT33" i="8"/>
  <c r="AT40" i="8" s="1"/>
  <c r="AT6" i="12"/>
  <c r="AW65" i="8"/>
  <c r="AU44" i="8"/>
  <c r="AU9" i="12"/>
  <c r="AW5" i="40"/>
  <c r="AW9" i="39" s="1"/>
  <c r="AW7" i="40"/>
  <c r="AW19" i="40" s="1"/>
  <c r="AR52" i="12"/>
  <c r="AV38" i="12"/>
  <c r="AV74" i="40" s="1"/>
  <c r="AU73" i="8"/>
  <c r="AU80" i="8"/>
  <c r="AW26" i="8"/>
  <c r="AV12" i="37"/>
  <c r="AS16" i="40"/>
  <c r="AR5" i="39"/>
  <c r="AR6" i="39" s="1"/>
  <c r="AR42" i="40"/>
  <c r="AR24" i="40"/>
  <c r="AR28" i="40"/>
  <c r="AW13" i="8"/>
  <c r="AV23" i="8"/>
  <c r="AV37" i="8" s="1"/>
  <c r="AV14" i="8"/>
  <c r="AR64" i="12"/>
  <c r="AR30" i="40"/>
  <c r="AY56" i="39"/>
  <c r="AX73" i="39"/>
  <c r="AX74" i="39" s="1"/>
  <c r="AX9" i="40"/>
  <c r="BF5" i="36"/>
  <c r="BF6" i="40" s="1"/>
  <c r="AE22" i="15"/>
  <c r="BF7" i="37"/>
  <c r="X1" i="15"/>
  <c r="X3" i="15" s="1"/>
  <c r="W13" i="15"/>
  <c r="AT22" i="39"/>
  <c r="AU37" i="40"/>
  <c r="BA54" i="39"/>
  <c r="BA46" i="39"/>
  <c r="AQ71" i="39"/>
  <c r="AQ72" i="39" s="1"/>
  <c r="AQ75" i="40" s="1"/>
  <c r="AR7" i="39"/>
  <c r="AR8" i="39" s="1"/>
  <c r="AR44" i="39" s="1"/>
  <c r="AS18" i="40"/>
  <c r="AR58" i="37"/>
  <c r="AQ20" i="37"/>
  <c r="AQ77" i="40" s="1"/>
  <c r="AY1" i="37"/>
  <c r="S110" i="54"/>
  <c r="AZ21" i="12"/>
  <c r="AZ49" i="12"/>
  <c r="AZ22" i="12"/>
  <c r="AZ59" i="12"/>
  <c r="AZ62" i="12"/>
  <c r="AZ33" i="12"/>
  <c r="AZ35" i="12"/>
  <c r="AZ19" i="12"/>
  <c r="AZ47" i="12"/>
  <c r="AZ61" i="12"/>
  <c r="AZ50" i="12"/>
  <c r="AZ36" i="12"/>
  <c r="AW70" i="8"/>
  <c r="AW68" i="8"/>
  <c r="AW71" i="8"/>
  <c r="AY53" i="8"/>
  <c r="AY11" i="8"/>
  <c r="AY10" i="8"/>
  <c r="AY24" i="8"/>
  <c r="AY50" i="8"/>
  <c r="AY8" i="8"/>
  <c r="AY52" i="8"/>
  <c r="AZ6" i="36" l="1"/>
  <c r="BA1" i="36"/>
  <c r="AY44" i="36"/>
  <c r="AY42" i="36" s="1"/>
  <c r="AY18" i="36"/>
  <c r="AV76" i="40"/>
  <c r="AT16" i="40"/>
  <c r="AT24" i="40" s="1"/>
  <c r="AW11" i="40"/>
  <c r="AW10" i="39" s="1"/>
  <c r="AS64" i="12"/>
  <c r="AS52" i="12"/>
  <c r="AR70" i="12"/>
  <c r="AR71" i="12" s="1"/>
  <c r="M124" i="54" s="1"/>
  <c r="AY62" i="8"/>
  <c r="AY27" i="8"/>
  <c r="AY7" i="8"/>
  <c r="AY60" i="8"/>
  <c r="AY49" i="8"/>
  <c r="T53" i="54" s="1"/>
  <c r="AY29" i="8"/>
  <c r="AY30" i="8"/>
  <c r="AY63" i="8"/>
  <c r="AW77" i="8"/>
  <c r="AW83" i="8" s="1"/>
  <c r="AW74" i="8"/>
  <c r="AW76" i="8"/>
  <c r="AW82" i="8" s="1"/>
  <c r="AZ18" i="12"/>
  <c r="AZ32" i="12"/>
  <c r="AX25" i="12"/>
  <c r="AX28" i="12"/>
  <c r="AX42" i="12"/>
  <c r="AX41" i="12"/>
  <c r="AX39" i="12"/>
  <c r="AX27" i="12"/>
  <c r="AR17" i="39"/>
  <c r="AR16" i="36" s="1"/>
  <c r="AR23" i="39"/>
  <c r="AR21" i="39"/>
  <c r="AT55" i="12"/>
  <c r="AT67" i="12"/>
  <c r="AV22" i="8"/>
  <c r="AV36" i="8" s="1"/>
  <c r="AV20" i="8"/>
  <c r="AV34" i="8" s="1"/>
  <c r="AU68" i="12"/>
  <c r="AU56" i="12"/>
  <c r="AU43" i="8"/>
  <c r="AU8" i="12"/>
  <c r="T46" i="54"/>
  <c r="AY1" i="53"/>
  <c r="AY1" i="39"/>
  <c r="AY13" i="12"/>
  <c r="AY14" i="12" s="1"/>
  <c r="AY17" i="8"/>
  <c r="AY7" i="36" s="1"/>
  <c r="AY6" i="37" s="1"/>
  <c r="AY16" i="8"/>
  <c r="AY15" i="8" s="1"/>
  <c r="AZ1" i="8"/>
  <c r="AY1" i="40"/>
  <c r="AS30" i="40"/>
  <c r="AR31" i="40"/>
  <c r="AV44" i="8"/>
  <c r="AV9" i="12"/>
  <c r="AW8" i="40"/>
  <c r="AX26" i="8"/>
  <c r="AW12" i="37"/>
  <c r="AS5" i="39"/>
  <c r="AS6" i="39" s="1"/>
  <c r="AS42" i="40"/>
  <c r="AS28" i="40"/>
  <c r="AS24" i="40"/>
  <c r="AU33" i="8"/>
  <c r="AU40" i="8" s="1"/>
  <c r="AU6" i="12"/>
  <c r="AU41" i="8"/>
  <c r="AR27" i="40"/>
  <c r="AU67" i="8"/>
  <c r="AU79" i="8"/>
  <c r="AW38" i="12"/>
  <c r="AW74" i="40" s="1"/>
  <c r="AX59" i="8"/>
  <c r="AX13" i="8"/>
  <c r="AW23" i="8"/>
  <c r="AW37" i="8" s="1"/>
  <c r="AW14" i="8"/>
  <c r="AX65" i="8"/>
  <c r="AT53" i="12"/>
  <c r="AT65" i="12"/>
  <c r="AT5" i="12"/>
  <c r="AT58" i="12" s="1"/>
  <c r="AT46" i="12"/>
  <c r="X122" i="54"/>
  <c r="BA1" i="12"/>
  <c r="AX5" i="40"/>
  <c r="AX9" i="39" s="1"/>
  <c r="AX7" i="40"/>
  <c r="AX19" i="40" s="1"/>
  <c r="AW24" i="12"/>
  <c r="AW21" i="37" s="1"/>
  <c r="AV80" i="8"/>
  <c r="AV73" i="8"/>
  <c r="AZ56" i="39"/>
  <c r="AY73" i="39"/>
  <c r="AY74" i="39" s="1"/>
  <c r="BG5" i="36"/>
  <c r="BG6" i="40" s="1"/>
  <c r="BG7" i="37"/>
  <c r="AF22" i="15"/>
  <c r="X13" i="15"/>
  <c r="Y1" i="15"/>
  <c r="Y3" i="15" s="1"/>
  <c r="AY9" i="40"/>
  <c r="AU22" i="39"/>
  <c r="AV37" i="40"/>
  <c r="BB46" i="39"/>
  <c r="BB54" i="39"/>
  <c r="AS7" i="39"/>
  <c r="AS8" i="39" s="1"/>
  <c r="AS44" i="39" s="1"/>
  <c r="AT18" i="40"/>
  <c r="AS64" i="37"/>
  <c r="AS61" i="37" s="1"/>
  <c r="AS60" i="37" s="1"/>
  <c r="AQ18" i="37"/>
  <c r="AR25" i="37" s="1"/>
  <c r="AR22" i="37" s="1"/>
  <c r="T110" i="54"/>
  <c r="AZ1" i="37"/>
  <c r="AZ50" i="8"/>
  <c r="AZ52" i="8"/>
  <c r="AZ8" i="8"/>
  <c r="AZ53" i="8"/>
  <c r="AZ10" i="8"/>
  <c r="AZ24" i="8"/>
  <c r="AZ11" i="8"/>
  <c r="AX68" i="8"/>
  <c r="AX71" i="8"/>
  <c r="AX70" i="8"/>
  <c r="BA33" i="12"/>
  <c r="BA49" i="12"/>
  <c r="BA47" i="12"/>
  <c r="BA61" i="12"/>
  <c r="BA19" i="12"/>
  <c r="BA21" i="12"/>
  <c r="BA50" i="12"/>
  <c r="BA36" i="12"/>
  <c r="BA59" i="12"/>
  <c r="AX8" i="40" l="1"/>
  <c r="AW76" i="40"/>
  <c r="BA6" i="36"/>
  <c r="BB1" i="36"/>
  <c r="AZ44" i="36"/>
  <c r="AZ42" i="36" s="1"/>
  <c r="AZ18" i="36"/>
  <c r="AT28" i="40"/>
  <c r="AT42" i="40"/>
  <c r="AT5" i="39"/>
  <c r="AT6" i="39" s="1"/>
  <c r="AT21" i="39" s="1"/>
  <c r="AR23" i="40"/>
  <c r="AR22" i="40" s="1"/>
  <c r="AT52" i="12"/>
  <c r="AR71" i="39"/>
  <c r="AR72" i="39" s="1"/>
  <c r="AR75" i="40" s="1"/>
  <c r="AX38" i="12"/>
  <c r="AX74" i="40" s="1"/>
  <c r="AS70" i="12"/>
  <c r="AS71" i="12" s="1"/>
  <c r="AS23" i="40" s="1"/>
  <c r="AS22" i="40" s="1"/>
  <c r="AX11" i="40"/>
  <c r="AT64" i="12"/>
  <c r="AR16" i="39"/>
  <c r="AR35" i="39" s="1"/>
  <c r="AX24" i="12"/>
  <c r="AX21" i="37" s="1"/>
  <c r="AX76" i="8"/>
  <c r="AX82" i="8" s="1"/>
  <c r="AX77" i="8"/>
  <c r="AX83" i="8" s="1"/>
  <c r="AX74" i="8"/>
  <c r="AZ30" i="8"/>
  <c r="AZ29" i="8"/>
  <c r="AZ63" i="8"/>
  <c r="AZ7" i="8"/>
  <c r="AZ27" i="8"/>
  <c r="AZ62" i="8"/>
  <c r="AZ60" i="8"/>
  <c r="AZ49" i="8"/>
  <c r="U53" i="54" s="1"/>
  <c r="AY41" i="12"/>
  <c r="AY28" i="12"/>
  <c r="AY39" i="12"/>
  <c r="AY27" i="12"/>
  <c r="AY42" i="12"/>
  <c r="AY25" i="12"/>
  <c r="AW22" i="8"/>
  <c r="AW36" i="8" s="1"/>
  <c r="AW20" i="8"/>
  <c r="AW34" i="8" s="1"/>
  <c r="AY13" i="8"/>
  <c r="AX23" i="8"/>
  <c r="AX37" i="8" s="1"/>
  <c r="AX14" i="8"/>
  <c r="AV56" i="12"/>
  <c r="AV68" i="12"/>
  <c r="AV79" i="8"/>
  <c r="AV67" i="8"/>
  <c r="AS27" i="40"/>
  <c r="AR21" i="36"/>
  <c r="AS22" i="36" s="1"/>
  <c r="AS19" i="36"/>
  <c r="AS10" i="36" s="1"/>
  <c r="AS46" i="40" s="1"/>
  <c r="AR26" i="36"/>
  <c r="AW44" i="8"/>
  <c r="AW9" i="12"/>
  <c r="AY59" i="8"/>
  <c r="Y122" i="54"/>
  <c r="BB1" i="12"/>
  <c r="AU46" i="12"/>
  <c r="AU53" i="12"/>
  <c r="AU65" i="12"/>
  <c r="AU5" i="12"/>
  <c r="AU58" i="12" s="1"/>
  <c r="AS23" i="39"/>
  <c r="AS17" i="39"/>
  <c r="AS16" i="36" s="1"/>
  <c r="AS21" i="39"/>
  <c r="AT30" i="40"/>
  <c r="AS31" i="40"/>
  <c r="AV6" i="12"/>
  <c r="AV41" i="8"/>
  <c r="AV33" i="8"/>
  <c r="AV40" i="8" s="1"/>
  <c r="T48" i="54"/>
  <c r="AX12" i="37"/>
  <c r="AY26" i="8"/>
  <c r="AU16" i="40"/>
  <c r="AY7" i="40"/>
  <c r="AY19" i="40" s="1"/>
  <c r="AY5" i="40"/>
  <c r="AY9" i="39" s="1"/>
  <c r="AU67" i="12"/>
  <c r="AU55" i="12"/>
  <c r="AV8" i="12"/>
  <c r="AV43" i="8"/>
  <c r="AW80" i="8"/>
  <c r="AW73" i="8"/>
  <c r="AY65" i="8"/>
  <c r="U46" i="54"/>
  <c r="AZ1" i="53"/>
  <c r="AZ1" i="39"/>
  <c r="AZ13" i="12"/>
  <c r="AZ14" i="12" s="1"/>
  <c r="AZ17" i="8"/>
  <c r="AZ7" i="36" s="1"/>
  <c r="AZ6" i="37" s="1"/>
  <c r="AZ16" i="8"/>
  <c r="AZ15" i="8" s="1"/>
  <c r="BA1" i="8"/>
  <c r="AZ1" i="40"/>
  <c r="BA56" i="39"/>
  <c r="AZ73" i="39"/>
  <c r="AZ74" i="39" s="1"/>
  <c r="AZ9" i="40"/>
  <c r="BH5" i="36"/>
  <c r="BH6" i="40" s="1"/>
  <c r="BH7" i="37"/>
  <c r="AG22" i="15"/>
  <c r="Z1" i="15"/>
  <c r="Z3" i="15" s="1"/>
  <c r="Y13" i="15"/>
  <c r="AV22" i="39"/>
  <c r="AW37" i="40"/>
  <c r="BC54" i="39"/>
  <c r="BC46" i="39"/>
  <c r="AU18" i="40"/>
  <c r="AT7" i="39"/>
  <c r="AT8" i="39" s="1"/>
  <c r="AT44" i="39" s="1"/>
  <c r="AS58" i="37"/>
  <c r="AR20" i="37"/>
  <c r="AR77" i="40" s="1"/>
  <c r="U110" i="54"/>
  <c r="BA1" i="37"/>
  <c r="BA35" i="12"/>
  <c r="BA62" i="12"/>
  <c r="BA22" i="12"/>
  <c r="BB35" i="12"/>
  <c r="BB59" i="12"/>
  <c r="BB47" i="12"/>
  <c r="BA18" i="12" l="1"/>
  <c r="BA32" i="12"/>
  <c r="BB62" i="12"/>
  <c r="BB61" i="12"/>
  <c r="BB49" i="12"/>
  <c r="BB50" i="12"/>
  <c r="BB36" i="12"/>
  <c r="BB22" i="12"/>
  <c r="BB33" i="12"/>
  <c r="BB21" i="12"/>
  <c r="BB19" i="12"/>
  <c r="AY70" i="8"/>
  <c r="AY68" i="8"/>
  <c r="AY71" i="8"/>
  <c r="BA52" i="8"/>
  <c r="BA50" i="8"/>
  <c r="BA10" i="8"/>
  <c r="BA24" i="8"/>
  <c r="BA53" i="8"/>
  <c r="BA11" i="8"/>
  <c r="BA8" i="8"/>
  <c r="AT27" i="40" l="1"/>
  <c r="BB6" i="36"/>
  <c r="BC1" i="36"/>
  <c r="BA18" i="36"/>
  <c r="BA44" i="36"/>
  <c r="BA42" i="36" s="1"/>
  <c r="AT70" i="12"/>
  <c r="AT71" i="12" s="1"/>
  <c r="O124" i="54" s="1"/>
  <c r="AY11" i="40"/>
  <c r="AY10" i="39" s="1"/>
  <c r="AT23" i="39"/>
  <c r="AT17" i="39"/>
  <c r="AT16" i="36" s="1"/>
  <c r="AT21" i="36" s="1"/>
  <c r="AU22" i="36" s="1"/>
  <c r="N124" i="54"/>
  <c r="AU64" i="12"/>
  <c r="AU52" i="12"/>
  <c r="AY38" i="12"/>
  <c r="AY74" i="40" s="1"/>
  <c r="AX10" i="39"/>
  <c r="AX76" i="40"/>
  <c r="AS71" i="39"/>
  <c r="AS72" i="39" s="1"/>
  <c r="AS75" i="40" s="1"/>
  <c r="BA7" i="8"/>
  <c r="BA27" i="8"/>
  <c r="BA30" i="8"/>
  <c r="BA63" i="8"/>
  <c r="BA29" i="8"/>
  <c r="BA60" i="8"/>
  <c r="BA49" i="8"/>
  <c r="V53" i="54" s="1"/>
  <c r="BA62" i="8"/>
  <c r="AY77" i="8"/>
  <c r="AY83" i="8" s="1"/>
  <c r="AY74" i="8"/>
  <c r="AY76" i="8"/>
  <c r="AY82" i="8" s="1"/>
  <c r="BB18" i="12"/>
  <c r="BB32" i="12"/>
  <c r="AZ27" i="12"/>
  <c r="AZ28" i="12"/>
  <c r="AZ42" i="12"/>
  <c r="AZ25" i="12"/>
  <c r="AZ41" i="12"/>
  <c r="AZ39" i="12"/>
  <c r="AU5" i="39"/>
  <c r="AU6" i="39" s="1"/>
  <c r="AU42" i="40"/>
  <c r="AU28" i="40"/>
  <c r="AU24" i="40"/>
  <c r="AV16" i="40"/>
  <c r="AY8" i="40"/>
  <c r="AV65" i="12"/>
  <c r="AV5" i="12"/>
  <c r="AV58" i="12" s="1"/>
  <c r="AV53" i="12"/>
  <c r="AV46" i="12"/>
  <c r="AW8" i="12"/>
  <c r="AW43" i="8"/>
  <c r="V46" i="54"/>
  <c r="BA1" i="53"/>
  <c r="BA1" i="39"/>
  <c r="BA13" i="12"/>
  <c r="BA14" i="12" s="1"/>
  <c r="BA16" i="8"/>
  <c r="BA15" i="8" s="1"/>
  <c r="BB1" i="8"/>
  <c r="BA17" i="8"/>
  <c r="BA7" i="36" s="1"/>
  <c r="BA6" i="37" s="1"/>
  <c r="BA1" i="40"/>
  <c r="AZ65" i="8"/>
  <c r="AW6" i="12"/>
  <c r="AW41" i="8"/>
  <c r="AW33" i="8"/>
  <c r="AW40" i="8" s="1"/>
  <c r="U48" i="54"/>
  <c r="AZ26" i="8"/>
  <c r="AY12" i="37"/>
  <c r="AZ5" i="40"/>
  <c r="AZ9" i="39" s="1"/>
  <c r="AZ7" i="40"/>
  <c r="AZ19" i="40" s="1"/>
  <c r="AV67" i="12"/>
  <c r="AV55" i="12"/>
  <c r="AW56" i="12"/>
  <c r="AW68" i="12"/>
  <c r="AT31" i="40"/>
  <c r="AU30" i="40"/>
  <c r="AX20" i="8"/>
  <c r="AX34" i="8" s="1"/>
  <c r="AX22" i="8"/>
  <c r="AX36" i="8" s="1"/>
  <c r="AS16" i="39"/>
  <c r="AS35" i="39" s="1"/>
  <c r="AX44" i="8"/>
  <c r="AX9" i="12"/>
  <c r="AX80" i="8"/>
  <c r="AX73" i="8"/>
  <c r="AW67" i="8"/>
  <c r="AW79" i="8"/>
  <c r="AS21" i="36"/>
  <c r="AT22" i="36" s="1"/>
  <c r="AT19" i="36"/>
  <c r="AT10" i="36" s="1"/>
  <c r="AT46" i="40" s="1"/>
  <c r="AS26" i="36"/>
  <c r="Z122" i="54"/>
  <c r="BC1" i="12"/>
  <c r="AZ13" i="8"/>
  <c r="AY23" i="8"/>
  <c r="AY37" i="8" s="1"/>
  <c r="AY14" i="8"/>
  <c r="AY24" i="12"/>
  <c r="AY21" i="37" s="1"/>
  <c r="AZ59" i="8"/>
  <c r="BB56" i="39"/>
  <c r="BA73" i="39"/>
  <c r="BA74" i="39" s="1"/>
  <c r="BA9" i="40"/>
  <c r="BI7" i="37"/>
  <c r="AH22" i="15"/>
  <c r="BI5" i="36"/>
  <c r="BI6" i="40" s="1"/>
  <c r="AA1" i="15"/>
  <c r="AA3" i="15" s="1"/>
  <c r="Z13" i="15"/>
  <c r="AW22" i="39"/>
  <c r="AX37" i="40"/>
  <c r="BD46" i="39"/>
  <c r="BD54" i="39"/>
  <c r="AU7" i="39"/>
  <c r="AU8" i="39" s="1"/>
  <c r="AU44" i="39" s="1"/>
  <c r="AV18" i="40"/>
  <c r="AT64" i="37"/>
  <c r="AT61" i="37" s="1"/>
  <c r="AT60" i="37" s="1"/>
  <c r="AR18" i="37"/>
  <c r="AS25" i="37" s="1"/>
  <c r="AS22" i="37" s="1"/>
  <c r="V110" i="54"/>
  <c r="BB1" i="37"/>
  <c r="BB52" i="8"/>
  <c r="BB8" i="8"/>
  <c r="BB53" i="8"/>
  <c r="BB50" i="8"/>
  <c r="BB10" i="8"/>
  <c r="BB24" i="8"/>
  <c r="BB11" i="8"/>
  <c r="BC21" i="12"/>
  <c r="BC59" i="12"/>
  <c r="BC47" i="12"/>
  <c r="BC36" i="12"/>
  <c r="BC19" i="12"/>
  <c r="BC35" i="12"/>
  <c r="BC61" i="12"/>
  <c r="BC62" i="12"/>
  <c r="BC50" i="12"/>
  <c r="BC33" i="12"/>
  <c r="BC49" i="12"/>
  <c r="BC22" i="12"/>
  <c r="AZ68" i="8"/>
  <c r="AZ71" i="8"/>
  <c r="AZ70" i="8"/>
  <c r="BC6" i="36" l="1"/>
  <c r="BD1" i="36"/>
  <c r="BB44" i="36"/>
  <c r="BB42" i="36" s="1"/>
  <c r="BB18" i="36"/>
  <c r="AT26" i="36"/>
  <c r="AY76" i="40"/>
  <c r="AT23" i="40"/>
  <c r="AT22" i="40" s="1"/>
  <c r="AT16" i="39"/>
  <c r="AT35" i="39" s="1"/>
  <c r="AT71" i="39"/>
  <c r="AT72" i="39" s="1"/>
  <c r="AT75" i="40" s="1"/>
  <c r="AU19" i="36"/>
  <c r="AU10" i="36" s="1"/>
  <c r="AU46" i="40" s="1"/>
  <c r="AU70" i="12"/>
  <c r="AU71" i="12" s="1"/>
  <c r="P124" i="54" s="1"/>
  <c r="AW16" i="40"/>
  <c r="AW24" i="40" s="1"/>
  <c r="AU27" i="40"/>
  <c r="AZ76" i="8"/>
  <c r="AZ82" i="8" s="1"/>
  <c r="AZ77" i="8"/>
  <c r="AZ83" i="8" s="1"/>
  <c r="AZ74" i="8"/>
  <c r="BC32" i="12"/>
  <c r="BC18" i="12"/>
  <c r="BB30" i="8"/>
  <c r="BB29" i="8"/>
  <c r="BB60" i="8"/>
  <c r="BB49" i="8"/>
  <c r="W53" i="54" s="1"/>
  <c r="BB63" i="8"/>
  <c r="BB27" i="8"/>
  <c r="BB7" i="8"/>
  <c r="BB62" i="8"/>
  <c r="BA28" i="12"/>
  <c r="BA41" i="12"/>
  <c r="BA42" i="12"/>
  <c r="BA27" i="12"/>
  <c r="BA39" i="12"/>
  <c r="BA25" i="12"/>
  <c r="AW53" i="12"/>
  <c r="AW46" i="12"/>
  <c r="AW65" i="12"/>
  <c r="AW5" i="12"/>
  <c r="AW58" i="12" s="1"/>
  <c r="AV52" i="12"/>
  <c r="AZ24" i="12"/>
  <c r="AZ21" i="37" s="1"/>
  <c r="AX8" i="12"/>
  <c r="AX43" i="8"/>
  <c r="AV64" i="12"/>
  <c r="BA59" i="8"/>
  <c r="AX33" i="8"/>
  <c r="AX40" i="8" s="1"/>
  <c r="AX6" i="12"/>
  <c r="AX41" i="8"/>
  <c r="BA13" i="8"/>
  <c r="AZ23" i="8"/>
  <c r="AZ37" i="8" s="1"/>
  <c r="AZ14" i="8"/>
  <c r="AX67" i="8"/>
  <c r="AX79" i="8"/>
  <c r="BA65" i="8"/>
  <c r="AZ8" i="40"/>
  <c r="AU17" i="39"/>
  <c r="AU16" i="36" s="1"/>
  <c r="AU23" i="39"/>
  <c r="AU21" i="39"/>
  <c r="AY44" i="8"/>
  <c r="AY9" i="12"/>
  <c r="AA122" i="54"/>
  <c r="BD1" i="12"/>
  <c r="AZ11" i="40"/>
  <c r="BA7" i="40"/>
  <c r="BA19" i="40" s="1"/>
  <c r="BA5" i="40"/>
  <c r="BA9" i="39" s="1"/>
  <c r="AV28" i="40"/>
  <c r="AV42" i="40"/>
  <c r="AV5" i="39"/>
  <c r="AV6" i="39" s="1"/>
  <c r="AV24" i="40"/>
  <c r="AY20" i="8"/>
  <c r="AY34" i="8" s="1"/>
  <c r="AY22" i="8"/>
  <c r="AY36" i="8" s="1"/>
  <c r="AX68" i="12"/>
  <c r="AX56" i="12"/>
  <c r="AV30" i="40"/>
  <c r="AU31" i="40"/>
  <c r="BB1" i="40"/>
  <c r="BB1" i="53"/>
  <c r="BB1" i="39"/>
  <c r="BB13" i="12"/>
  <c r="BB14" i="12" s="1"/>
  <c r="W46" i="54"/>
  <c r="BC1" i="8"/>
  <c r="BB16" i="8"/>
  <c r="BB15" i="8" s="1"/>
  <c r="BB17" i="8"/>
  <c r="BB7" i="36" s="1"/>
  <c r="BB6" i="37" s="1"/>
  <c r="AW55" i="12"/>
  <c r="AW67" i="12"/>
  <c r="AZ38" i="12"/>
  <c r="AZ74" i="40" s="1"/>
  <c r="AY73" i="8"/>
  <c r="AY80" i="8"/>
  <c r="V48" i="54"/>
  <c r="AZ12" i="37"/>
  <c r="BA26" i="8"/>
  <c r="BC56" i="39"/>
  <c r="BB73" i="39"/>
  <c r="BB74" i="39" s="1"/>
  <c r="BJ5" i="36"/>
  <c r="BJ6" i="40" s="1"/>
  <c r="BJ7" i="37"/>
  <c r="AI22" i="15"/>
  <c r="AB1" i="15"/>
  <c r="AB3" i="15" s="1"/>
  <c r="AA13" i="15"/>
  <c r="BB9" i="40"/>
  <c r="AX22" i="39"/>
  <c r="AY37" i="40"/>
  <c r="BE54" i="39"/>
  <c r="BE46" i="39"/>
  <c r="AW18" i="40"/>
  <c r="AV7" i="39"/>
  <c r="AV8" i="39" s="1"/>
  <c r="AV44" i="39" s="1"/>
  <c r="AT58" i="37"/>
  <c r="AS20" i="37"/>
  <c r="AS77" i="40" s="1"/>
  <c r="W110" i="54"/>
  <c r="BC1" i="37"/>
  <c r="BD21" i="12"/>
  <c r="BD19" i="12"/>
  <c r="BD22" i="12"/>
  <c r="BD50" i="12"/>
  <c r="BD59" i="12"/>
  <c r="BD62" i="12"/>
  <c r="BD33" i="12"/>
  <c r="BD49" i="12"/>
  <c r="BD61" i="12"/>
  <c r="BD47" i="12"/>
  <c r="BD35" i="12"/>
  <c r="BD36" i="12"/>
  <c r="BA68" i="8"/>
  <c r="BA70" i="8"/>
  <c r="BA71" i="8"/>
  <c r="BC24" i="8"/>
  <c r="BC53" i="8"/>
  <c r="BC11" i="8"/>
  <c r="BC10" i="8"/>
  <c r="BC52" i="8"/>
  <c r="BC8" i="8"/>
  <c r="BC50" i="8"/>
  <c r="BA8" i="40" l="1"/>
  <c r="BE1" i="36"/>
  <c r="BD6" i="36"/>
  <c r="BC44" i="36"/>
  <c r="BC42" i="36" s="1"/>
  <c r="BC18" i="36"/>
  <c r="AW28" i="40"/>
  <c r="AU23" i="40"/>
  <c r="AU22" i="40" s="1"/>
  <c r="AW42" i="40"/>
  <c r="AW5" i="39"/>
  <c r="AW6" i="39" s="1"/>
  <c r="AW21" i="39" s="1"/>
  <c r="AV70" i="12"/>
  <c r="AV71" i="12" s="1"/>
  <c r="Q124" i="54" s="1"/>
  <c r="AW64" i="12"/>
  <c r="BA24" i="12"/>
  <c r="BA21" i="37" s="1"/>
  <c r="AU16" i="39"/>
  <c r="AU35" i="39" s="1"/>
  <c r="BC60" i="8"/>
  <c r="BC49" i="8"/>
  <c r="X53" i="54" s="1"/>
  <c r="BC7" i="8"/>
  <c r="BC27" i="8"/>
  <c r="BC62" i="8"/>
  <c r="BC29" i="8"/>
  <c r="BC30" i="8"/>
  <c r="BC63" i="8"/>
  <c r="BA77" i="8"/>
  <c r="BA83" i="8" s="1"/>
  <c r="BA76" i="8"/>
  <c r="BA82" i="8" s="1"/>
  <c r="BA74" i="8"/>
  <c r="BD32" i="12"/>
  <c r="BD18" i="12"/>
  <c r="BB28" i="12"/>
  <c r="BB42" i="12"/>
  <c r="BB41" i="12"/>
  <c r="BB25" i="12"/>
  <c r="BB27" i="12"/>
  <c r="BB39" i="12"/>
  <c r="BC1" i="53"/>
  <c r="X46" i="54"/>
  <c r="BC1" i="40"/>
  <c r="BD1" i="8"/>
  <c r="BC1" i="39"/>
  <c r="BC13" i="12"/>
  <c r="BC14" i="12" s="1"/>
  <c r="BC16" i="8"/>
  <c r="BC15" i="8" s="1"/>
  <c r="BC17" i="8"/>
  <c r="BC7" i="36" s="1"/>
  <c r="BC6" i="37" s="1"/>
  <c r="AZ10" i="39"/>
  <c r="AZ76" i="40"/>
  <c r="BB65" i="8"/>
  <c r="AY67" i="8"/>
  <c r="AY79" i="8"/>
  <c r="AV17" i="39"/>
  <c r="AV16" i="36" s="1"/>
  <c r="AV23" i="39"/>
  <c r="AV21" i="39"/>
  <c r="AZ44" i="8"/>
  <c r="AZ9" i="12"/>
  <c r="AW52" i="12"/>
  <c r="BB59" i="8"/>
  <c r="AB122" i="54"/>
  <c r="BE1" i="12"/>
  <c r="AZ20" i="8"/>
  <c r="AZ34" i="8" s="1"/>
  <c r="AZ22" i="8"/>
  <c r="AZ36" i="8" s="1"/>
  <c r="BB13" i="8"/>
  <c r="BA23" i="8"/>
  <c r="BA37" i="8" s="1"/>
  <c r="BA14" i="8"/>
  <c r="AX67" i="12"/>
  <c r="AX55" i="12"/>
  <c r="AW30" i="40"/>
  <c r="AV31" i="40"/>
  <c r="AY56" i="12"/>
  <c r="AY68" i="12"/>
  <c r="AU71" i="39"/>
  <c r="AU72" i="39" s="1"/>
  <c r="AU75" i="40" s="1"/>
  <c r="AV27" i="40"/>
  <c r="BB7" i="40"/>
  <c r="BB8" i="40" s="1"/>
  <c r="BB5" i="40"/>
  <c r="BB9" i="39" s="1"/>
  <c r="AX5" i="12"/>
  <c r="AX58" i="12" s="1"/>
  <c r="AX53" i="12"/>
  <c r="AX46" i="12"/>
  <c r="AX65" i="12"/>
  <c r="AZ80" i="8"/>
  <c r="AZ73" i="8"/>
  <c r="AY43" i="8"/>
  <c r="AY8" i="12"/>
  <c r="AX16" i="40"/>
  <c r="BA38" i="12"/>
  <c r="BA74" i="40" s="1"/>
  <c r="BB26" i="8"/>
  <c r="BA12" i="37"/>
  <c r="AY41" i="8"/>
  <c r="AY33" i="8"/>
  <c r="AY40" i="8" s="1"/>
  <c r="AY6" i="12"/>
  <c r="AV19" i="36"/>
  <c r="AV10" i="36" s="1"/>
  <c r="AV46" i="40" s="1"/>
  <c r="AU21" i="36"/>
  <c r="AV22" i="36" s="1"/>
  <c r="AU26" i="36"/>
  <c r="BA11" i="40"/>
  <c r="BD56" i="39"/>
  <c r="BC73" i="39"/>
  <c r="BC74" i="39" s="1"/>
  <c r="BK7" i="37"/>
  <c r="AJ22" i="15"/>
  <c r="BK5" i="36"/>
  <c r="BK6" i="40" s="1"/>
  <c r="AC1" i="15"/>
  <c r="AC3" i="15" s="1"/>
  <c r="AB13" i="15"/>
  <c r="BC9" i="40"/>
  <c r="AY22" i="39"/>
  <c r="AZ37" i="40"/>
  <c r="BF46" i="39"/>
  <c r="BF54" i="39"/>
  <c r="AW7" i="39"/>
  <c r="AW8" i="39" s="1"/>
  <c r="AW44" i="39" s="1"/>
  <c r="AX18" i="40"/>
  <c r="AU64" i="37"/>
  <c r="AU61" i="37" s="1"/>
  <c r="AU60" i="37" s="1"/>
  <c r="AS18" i="37"/>
  <c r="AT25" i="37" s="1"/>
  <c r="AT22" i="37" s="1"/>
  <c r="X110" i="54"/>
  <c r="BD1" i="37"/>
  <c r="BD50" i="8"/>
  <c r="BD24" i="8"/>
  <c r="BD52" i="8"/>
  <c r="BD53" i="8"/>
  <c r="BD11" i="8"/>
  <c r="BD10" i="8"/>
  <c r="BD8" i="8"/>
  <c r="BB68" i="8"/>
  <c r="BB70" i="8"/>
  <c r="BB71" i="8"/>
  <c r="BE19" i="12"/>
  <c r="BE35" i="12"/>
  <c r="BE47" i="12"/>
  <c r="BE62" i="12"/>
  <c r="BE21" i="12"/>
  <c r="BE36" i="12"/>
  <c r="BE33" i="12"/>
  <c r="BE61" i="12"/>
  <c r="BE22" i="12"/>
  <c r="BE59" i="12"/>
  <c r="BD44" i="36" l="1"/>
  <c r="BD42" i="36" s="1"/>
  <c r="BD18" i="36"/>
  <c r="BF1" i="36"/>
  <c r="BE6" i="36"/>
  <c r="AV23" i="40"/>
  <c r="AV22" i="40" s="1"/>
  <c r="AW70" i="12"/>
  <c r="AW71" i="12" s="1"/>
  <c r="R124" i="54" s="1"/>
  <c r="AW23" i="39"/>
  <c r="AW71" i="39" s="1"/>
  <c r="AW17" i="39"/>
  <c r="AW16" i="36" s="1"/>
  <c r="AW21" i="36" s="1"/>
  <c r="AX22" i="36" s="1"/>
  <c r="AY16" i="40"/>
  <c r="AY24" i="40" s="1"/>
  <c r="AV71" i="39"/>
  <c r="AV72" i="39" s="1"/>
  <c r="AV75" i="40" s="1"/>
  <c r="AX64" i="12"/>
  <c r="AV16" i="39"/>
  <c r="AV35" i="39" s="1"/>
  <c r="BE32" i="12"/>
  <c r="BE18" i="12"/>
  <c r="BB77" i="8"/>
  <c r="BB83" i="8" s="1"/>
  <c r="BB76" i="8"/>
  <c r="BB82" i="8" s="1"/>
  <c r="BB74" i="8"/>
  <c r="BD7" i="8"/>
  <c r="BD27" i="8"/>
  <c r="BD29" i="8"/>
  <c r="BD30" i="8"/>
  <c r="BD63" i="8"/>
  <c r="BD62" i="8"/>
  <c r="BD60" i="8"/>
  <c r="BD49" i="8"/>
  <c r="Y53" i="54" s="1"/>
  <c r="AZ79" i="8"/>
  <c r="AZ67" i="8"/>
  <c r="AX30" i="40"/>
  <c r="AW31" i="40"/>
  <c r="AZ6" i="12"/>
  <c r="AZ41" i="8"/>
  <c r="AZ33" i="8"/>
  <c r="AZ40" i="8" s="1"/>
  <c r="AZ68" i="12"/>
  <c r="AZ56" i="12"/>
  <c r="AC122" i="54"/>
  <c r="BF1" i="12"/>
  <c r="AY67" i="12"/>
  <c r="AY55" i="12"/>
  <c r="BC65" i="8"/>
  <c r="BB38" i="12"/>
  <c r="BB74" i="40" s="1"/>
  <c r="BB19" i="40"/>
  <c r="AX24" i="40"/>
  <c r="AX28" i="40"/>
  <c r="AX42" i="40"/>
  <c r="AX5" i="39"/>
  <c r="AX6" i="39" s="1"/>
  <c r="BA22" i="8"/>
  <c r="BA36" i="8" s="1"/>
  <c r="BA20" i="8"/>
  <c r="BA34" i="8" s="1"/>
  <c r="BC25" i="12"/>
  <c r="BC42" i="12"/>
  <c r="BC27" i="12"/>
  <c r="BC28" i="12"/>
  <c r="BC39" i="12"/>
  <c r="BC41" i="12"/>
  <c r="AY65" i="12"/>
  <c r="AY53" i="12"/>
  <c r="AY5" i="12"/>
  <c r="AY58" i="12" s="1"/>
  <c r="AY46" i="12"/>
  <c r="AW27" i="40"/>
  <c r="AX52" i="12"/>
  <c r="BA9" i="12"/>
  <c r="BA44" i="8"/>
  <c r="BB11" i="40"/>
  <c r="AV26" i="36"/>
  <c r="AV21" i="36"/>
  <c r="AW22" i="36" s="1"/>
  <c r="AW19" i="36"/>
  <c r="AW10" i="36" s="1"/>
  <c r="AW46" i="40" s="1"/>
  <c r="BB24" i="12"/>
  <c r="BB21" i="37" s="1"/>
  <c r="BA73" i="8"/>
  <c r="BA80" i="8"/>
  <c r="BC26" i="8"/>
  <c r="BB12" i="37"/>
  <c r="BA10" i="39"/>
  <c r="BA76" i="40"/>
  <c r="BC13" i="8"/>
  <c r="BB23" i="8"/>
  <c r="BB37" i="8" s="1"/>
  <c r="BB14" i="8"/>
  <c r="Y46" i="54"/>
  <c r="BD1" i="40"/>
  <c r="BD1" i="53"/>
  <c r="BD1" i="39"/>
  <c r="BD13" i="12"/>
  <c r="BD14" i="12" s="1"/>
  <c r="BD17" i="8"/>
  <c r="BD7" i="36" s="1"/>
  <c r="BD6" i="37" s="1"/>
  <c r="BD16" i="8"/>
  <c r="BD15" i="8" s="1"/>
  <c r="BE1" i="8"/>
  <c r="AZ8" i="12"/>
  <c r="AZ43" i="8"/>
  <c r="BC7" i="40"/>
  <c r="BC8" i="40" s="1"/>
  <c r="BC5" i="40"/>
  <c r="BC9" i="39" s="1"/>
  <c r="BC59" i="8"/>
  <c r="BE56" i="39"/>
  <c r="BD73" i="39"/>
  <c r="BD74" i="39" s="1"/>
  <c r="BD9" i="40"/>
  <c r="AD1" i="15"/>
  <c r="AD3" i="15" s="1"/>
  <c r="AC13" i="15"/>
  <c r="BL7" i="37"/>
  <c r="AK22" i="15"/>
  <c r="BL5" i="36"/>
  <c r="BL6" i="40" s="1"/>
  <c r="AZ22" i="39"/>
  <c r="BA37" i="40"/>
  <c r="BG54" i="39"/>
  <c r="BG46" i="39"/>
  <c r="AX7" i="39"/>
  <c r="AX8" i="39" s="1"/>
  <c r="AX44" i="39" s="1"/>
  <c r="AY18" i="40"/>
  <c r="AU58" i="37"/>
  <c r="AT20" i="37"/>
  <c r="AT77" i="40" s="1"/>
  <c r="BE1" i="37"/>
  <c r="Y110" i="54"/>
  <c r="BE50" i="12"/>
  <c r="BE49" i="12"/>
  <c r="BF21" i="12"/>
  <c r="BF19" i="12"/>
  <c r="BF33" i="12"/>
  <c r="BF59" i="12"/>
  <c r="BF50" i="12"/>
  <c r="BF35" i="12"/>
  <c r="BF22" i="12"/>
  <c r="BF47" i="12"/>
  <c r="BF62" i="12"/>
  <c r="BF49" i="12"/>
  <c r="BF61" i="12"/>
  <c r="BF36" i="12"/>
  <c r="BC68" i="8"/>
  <c r="BC71" i="8"/>
  <c r="BC70" i="8"/>
  <c r="BE50" i="8"/>
  <c r="BE11" i="8"/>
  <c r="BE24" i="8"/>
  <c r="BE8" i="8"/>
  <c r="BE53" i="8"/>
  <c r="BE52" i="8"/>
  <c r="BE10" i="8"/>
  <c r="BE44" i="36" l="1"/>
  <c r="BE42" i="36" s="1"/>
  <c r="BE18" i="36"/>
  <c r="BF6" i="36"/>
  <c r="BG1" i="36"/>
  <c r="AW23" i="40"/>
  <c r="AW22" i="40" s="1"/>
  <c r="AY5" i="39"/>
  <c r="AY6" i="39" s="1"/>
  <c r="AY21" i="39" s="1"/>
  <c r="AY28" i="40"/>
  <c r="BC11" i="40"/>
  <c r="BC10" i="39" s="1"/>
  <c r="AW26" i="36"/>
  <c r="AX19" i="36"/>
  <c r="AX10" i="36" s="1"/>
  <c r="AX46" i="40" s="1"/>
  <c r="AW16" i="39"/>
  <c r="AW35" i="39" s="1"/>
  <c r="AY42" i="40"/>
  <c r="AW72" i="39"/>
  <c r="AW75" i="40" s="1"/>
  <c r="AX27" i="40"/>
  <c r="AX70" i="12"/>
  <c r="AX71" i="12" s="1"/>
  <c r="S124" i="54" s="1"/>
  <c r="AY52" i="12"/>
  <c r="AY64" i="12"/>
  <c r="BE29" i="8"/>
  <c r="BE62" i="8"/>
  <c r="BE63" i="8"/>
  <c r="BE27" i="8"/>
  <c r="BE7" i="8"/>
  <c r="BE30" i="8"/>
  <c r="BE49" i="8"/>
  <c r="Z53" i="54" s="1"/>
  <c r="BE60" i="8"/>
  <c r="BC76" i="8"/>
  <c r="BC82" i="8" s="1"/>
  <c r="BC77" i="8"/>
  <c r="BC83" i="8" s="1"/>
  <c r="BC74" i="8"/>
  <c r="BF32" i="12"/>
  <c r="BF18" i="12"/>
  <c r="BD25" i="12"/>
  <c r="BD39" i="12"/>
  <c r="BD27" i="12"/>
  <c r="BD42" i="12"/>
  <c r="BD41" i="12"/>
  <c r="BD28" i="12"/>
  <c r="BB10" i="39"/>
  <c r="BB76" i="40"/>
  <c r="BA56" i="12"/>
  <c r="BA68" i="12"/>
  <c r="BC38" i="12"/>
  <c r="BC74" i="40" s="1"/>
  <c r="BA67" i="8"/>
  <c r="BA79" i="8"/>
  <c r="AZ67" i="12"/>
  <c r="AZ55" i="12"/>
  <c r="BD7" i="40"/>
  <c r="BD8" i="40" s="1"/>
  <c r="BD5" i="40"/>
  <c r="BD9" i="39" s="1"/>
  <c r="BA33" i="8"/>
  <c r="BA40" i="8" s="1"/>
  <c r="BA41" i="8"/>
  <c r="BA6" i="12"/>
  <c r="BC19" i="40"/>
  <c r="AZ16" i="40"/>
  <c r="BA8" i="12"/>
  <c r="BA43" i="8"/>
  <c r="Y48" i="54"/>
  <c r="BC12" i="37"/>
  <c r="BD26" i="8"/>
  <c r="Z46" i="54"/>
  <c r="BE1" i="40"/>
  <c r="BE1" i="53"/>
  <c r="BE1" i="39"/>
  <c r="BE13" i="12"/>
  <c r="BE14" i="12" s="1"/>
  <c r="BF1" i="8"/>
  <c r="BE17" i="8"/>
  <c r="BE7" i="36" s="1"/>
  <c r="BE6" i="37" s="1"/>
  <c r="BE16" i="8"/>
  <c r="BE15" i="8" s="1"/>
  <c r="BB20" i="8"/>
  <c r="BB34" i="8" s="1"/>
  <c r="BB22" i="8"/>
  <c r="BB36" i="8" s="1"/>
  <c r="AX17" i="39"/>
  <c r="AX16" i="36" s="1"/>
  <c r="AX23" i="39"/>
  <c r="AX21" i="39"/>
  <c r="BD65" i="8"/>
  <c r="AZ65" i="12"/>
  <c r="AZ53" i="12"/>
  <c r="AZ5" i="12"/>
  <c r="AZ58" i="12" s="1"/>
  <c r="AZ46" i="12"/>
  <c r="BB80" i="8"/>
  <c r="BB73" i="8"/>
  <c r="BB9" i="12"/>
  <c r="BB44" i="8"/>
  <c r="BC24" i="12"/>
  <c r="BC21" i="37" s="1"/>
  <c r="BG1" i="12"/>
  <c r="AD122" i="54"/>
  <c r="BD59" i="8"/>
  <c r="BD13" i="8"/>
  <c r="BC23" i="8"/>
  <c r="BC37" i="8" s="1"/>
  <c r="BC14" i="8"/>
  <c r="AY30" i="40"/>
  <c r="AX31" i="40"/>
  <c r="BF56" i="39"/>
  <c r="BE73" i="39"/>
  <c r="BE74" i="39" s="1"/>
  <c r="BE9" i="40"/>
  <c r="AD13" i="15"/>
  <c r="AE1" i="15"/>
  <c r="AE3" i="15" s="1"/>
  <c r="AL22" i="15"/>
  <c r="BM5" i="36"/>
  <c r="BM6" i="40" s="1"/>
  <c r="BM7" i="37"/>
  <c r="BA22" i="39"/>
  <c r="BB37" i="40"/>
  <c r="BH46" i="39"/>
  <c r="BH54" i="39"/>
  <c r="AY7" i="39"/>
  <c r="AY8" i="39" s="1"/>
  <c r="AY44" i="39" s="1"/>
  <c r="AZ18" i="40"/>
  <c r="AV64" i="37"/>
  <c r="AV61" i="37" s="1"/>
  <c r="AV60" i="37" s="1"/>
  <c r="AT18" i="37"/>
  <c r="AU25" i="37" s="1"/>
  <c r="AU22" i="37" s="1"/>
  <c r="Z110" i="54"/>
  <c r="BF1" i="37"/>
  <c r="BG47" i="12"/>
  <c r="BG59" i="12"/>
  <c r="BG62" i="12"/>
  <c r="BG33" i="12"/>
  <c r="BG35" i="12"/>
  <c r="BG21" i="12"/>
  <c r="BG36" i="12"/>
  <c r="BG61" i="12"/>
  <c r="BG50" i="12"/>
  <c r="BG19" i="12"/>
  <c r="BG49" i="12"/>
  <c r="BG22" i="12"/>
  <c r="BF10" i="8"/>
  <c r="BF24" i="8"/>
  <c r="BF11" i="8"/>
  <c r="BF8" i="8"/>
  <c r="BF52" i="8"/>
  <c r="BF50" i="8"/>
  <c r="BF53" i="8"/>
  <c r="BD71" i="8"/>
  <c r="BD70" i="8"/>
  <c r="BD68" i="8"/>
  <c r="AV58" i="37" l="1"/>
  <c r="BG6" i="36"/>
  <c r="BH1" i="36"/>
  <c r="BF44" i="36"/>
  <c r="BF42" i="36" s="1"/>
  <c r="BF18" i="36"/>
  <c r="BC76" i="40"/>
  <c r="AY23" i="39"/>
  <c r="AY71" i="39" s="1"/>
  <c r="AY17" i="39"/>
  <c r="AY16" i="36" s="1"/>
  <c r="AY26" i="36" s="1"/>
  <c r="AX23" i="40"/>
  <c r="AX22" i="40" s="1"/>
  <c r="AY70" i="12"/>
  <c r="AY71" i="12" s="1"/>
  <c r="T124" i="54" s="1"/>
  <c r="AZ64" i="12"/>
  <c r="BA16" i="40"/>
  <c r="BA24" i="40" s="1"/>
  <c r="AX16" i="39"/>
  <c r="AX35" i="39" s="1"/>
  <c r="AX71" i="39"/>
  <c r="AX72" i="39" s="1"/>
  <c r="AX75" i="40" s="1"/>
  <c r="BE59" i="8"/>
  <c r="BD74" i="8"/>
  <c r="BD76" i="8"/>
  <c r="BD82" i="8" s="1"/>
  <c r="BD77" i="8"/>
  <c r="BD83" i="8" s="1"/>
  <c r="BF63" i="8"/>
  <c r="BF60" i="8"/>
  <c r="BF49" i="8"/>
  <c r="AA53" i="54" s="1"/>
  <c r="BF62" i="8"/>
  <c r="BF7" i="8"/>
  <c r="BF27" i="8"/>
  <c r="BF30" i="8"/>
  <c r="BF29" i="8"/>
  <c r="BG18" i="12"/>
  <c r="BG32" i="12"/>
  <c r="BE28" i="12"/>
  <c r="BE39" i="12"/>
  <c r="BE42" i="12"/>
  <c r="BE27" i="12"/>
  <c r="BE41" i="12"/>
  <c r="BE25" i="12"/>
  <c r="BA65" i="12"/>
  <c r="BA53" i="12"/>
  <c r="BA46" i="12"/>
  <c r="BA5" i="12"/>
  <c r="BA58" i="12" s="1"/>
  <c r="BC9" i="12"/>
  <c r="BC44" i="8"/>
  <c r="BE13" i="8"/>
  <c r="BD23" i="8"/>
  <c r="BD37" i="8" s="1"/>
  <c r="BD14" i="8"/>
  <c r="BE65" i="8"/>
  <c r="BF1" i="39"/>
  <c r="BF13" i="12"/>
  <c r="BF14" i="12" s="1"/>
  <c r="AA46" i="54"/>
  <c r="BF1" i="40"/>
  <c r="BF1" i="53"/>
  <c r="BF17" i="8"/>
  <c r="BF7" i="36" s="1"/>
  <c r="BF6" i="37" s="1"/>
  <c r="BF16" i="8"/>
  <c r="BF15" i="8" s="1"/>
  <c r="BG1" i="8"/>
  <c r="BD11" i="40"/>
  <c r="BD38" i="12"/>
  <c r="BD74" i="40" s="1"/>
  <c r="BB79" i="8"/>
  <c r="BB67" i="8"/>
  <c r="BD24" i="12"/>
  <c r="BD21" i="37" s="1"/>
  <c r="Z48" i="54"/>
  <c r="BE26" i="8"/>
  <c r="BD12" i="37"/>
  <c r="AX21" i="36"/>
  <c r="AY22" i="36" s="1"/>
  <c r="AX26" i="36"/>
  <c r="AY19" i="36"/>
  <c r="AY10" i="36" s="1"/>
  <c r="AY46" i="40" s="1"/>
  <c r="AE122" i="54"/>
  <c r="BH1" i="12"/>
  <c r="BB8" i="12"/>
  <c r="BB43" i="8"/>
  <c r="BE5" i="40"/>
  <c r="BE9" i="39" s="1"/>
  <c r="BE7" i="40"/>
  <c r="BE8" i="40" s="1"/>
  <c r="BA55" i="12"/>
  <c r="BA67" i="12"/>
  <c r="BC80" i="8"/>
  <c r="BC73" i="8"/>
  <c r="BB41" i="8"/>
  <c r="BB6" i="12"/>
  <c r="BB33" i="8"/>
  <c r="BB40" i="8" s="1"/>
  <c r="AZ24" i="40"/>
  <c r="AZ5" i="39"/>
  <c r="AZ6" i="39" s="1"/>
  <c r="AZ28" i="40"/>
  <c r="AZ42" i="40"/>
  <c r="BB68" i="12"/>
  <c r="BB56" i="12"/>
  <c r="AZ30" i="40"/>
  <c r="AY31" i="40"/>
  <c r="BC20" i="8"/>
  <c r="BC34" i="8" s="1"/>
  <c r="BC22" i="8"/>
  <c r="BC36" i="8" s="1"/>
  <c r="AZ52" i="12"/>
  <c r="AY27" i="40"/>
  <c r="BD19" i="40"/>
  <c r="BG56" i="39"/>
  <c r="BF73" i="39"/>
  <c r="BF74" i="39" s="1"/>
  <c r="AF1" i="15"/>
  <c r="AF3" i="15" s="1"/>
  <c r="AE13" i="15"/>
  <c r="BF9" i="40"/>
  <c r="BN5" i="36"/>
  <c r="BN6" i="40" s="1"/>
  <c r="BN7" i="37"/>
  <c r="AM22" i="15"/>
  <c r="BB22" i="39"/>
  <c r="BC37" i="40"/>
  <c r="BI54" i="39"/>
  <c r="BI46" i="39"/>
  <c r="BA18" i="40"/>
  <c r="AZ7" i="39"/>
  <c r="AZ8" i="39" s="1"/>
  <c r="AZ44" i="39" s="1"/>
  <c r="AW64" i="37"/>
  <c r="AW61" i="37" s="1"/>
  <c r="AW60" i="37" s="1"/>
  <c r="AU20" i="37"/>
  <c r="AU77" i="40" s="1"/>
  <c r="BG1" i="37"/>
  <c r="AA110" i="54"/>
  <c r="BE68" i="8"/>
  <c r="BE70" i="8"/>
  <c r="BE71" i="8"/>
  <c r="BG8" i="8"/>
  <c r="BG53" i="8"/>
  <c r="BG24" i="8"/>
  <c r="BG52" i="8"/>
  <c r="BG10" i="8"/>
  <c r="BG11" i="8"/>
  <c r="BG50" i="8"/>
  <c r="BH36" i="12"/>
  <c r="BH33" i="12"/>
  <c r="BH22" i="12"/>
  <c r="BH35" i="12"/>
  <c r="BH59" i="12"/>
  <c r="BH62" i="12"/>
  <c r="BH47" i="12"/>
  <c r="BH19" i="12"/>
  <c r="BE19" i="40" l="1"/>
  <c r="BH6" i="36"/>
  <c r="BI1" i="36"/>
  <c r="BG44" i="36"/>
  <c r="BG42" i="36" s="1"/>
  <c r="BG18" i="36"/>
  <c r="AZ70" i="12"/>
  <c r="AZ71" i="12" s="1"/>
  <c r="AZ23" i="40" s="1"/>
  <c r="AZ22" i="40" s="1"/>
  <c r="AY21" i="36"/>
  <c r="AZ22" i="36" s="1"/>
  <c r="AY16" i="39"/>
  <c r="AY35" i="39" s="1"/>
  <c r="AZ19" i="36"/>
  <c r="AZ10" i="36" s="1"/>
  <c r="AZ46" i="40" s="1"/>
  <c r="AY23" i="40"/>
  <c r="AY22" i="40" s="1"/>
  <c r="BE11" i="40"/>
  <c r="BE10" i="39" s="1"/>
  <c r="BA28" i="40"/>
  <c r="BA42" i="40"/>
  <c r="BA5" i="39"/>
  <c r="BA6" i="39" s="1"/>
  <c r="BA21" i="39" s="1"/>
  <c r="BB16" i="40"/>
  <c r="BB28" i="40" s="1"/>
  <c r="BE38" i="12"/>
  <c r="BE74" i="40" s="1"/>
  <c r="BH32" i="12"/>
  <c r="BG49" i="8"/>
  <c r="AB53" i="54" s="1"/>
  <c r="BG60" i="8"/>
  <c r="BG30" i="8"/>
  <c r="BG29" i="8"/>
  <c r="BG62" i="8"/>
  <c r="BG63" i="8"/>
  <c r="BG27" i="8"/>
  <c r="BG7" i="8"/>
  <c r="BE77" i="8"/>
  <c r="BE83" i="8" s="1"/>
  <c r="BE76" i="8"/>
  <c r="BE82" i="8" s="1"/>
  <c r="BE74" i="8"/>
  <c r="BG15" i="8"/>
  <c r="BF25" i="12"/>
  <c r="BF27" i="12"/>
  <c r="BF42" i="12"/>
  <c r="BF28" i="12"/>
  <c r="BF41" i="12"/>
  <c r="BF39" i="12"/>
  <c r="BD20" i="8"/>
  <c r="BD34" i="8" s="1"/>
  <c r="BD22" i="8"/>
  <c r="BD36" i="8" s="1"/>
  <c r="BA52" i="12"/>
  <c r="AA48" i="54"/>
  <c r="BF26" i="8"/>
  <c r="BE12" i="37"/>
  <c r="BD9" i="12"/>
  <c r="BD44" i="8"/>
  <c r="BA64" i="12"/>
  <c r="BC43" i="8"/>
  <c r="BC8" i="12"/>
  <c r="BB67" i="12"/>
  <c r="BB55" i="12"/>
  <c r="BF13" i="8"/>
  <c r="BE23" i="8"/>
  <c r="BE37" i="8" s="1"/>
  <c r="BE14" i="8"/>
  <c r="BC33" i="8"/>
  <c r="BC40" i="8" s="1"/>
  <c r="BC6" i="12"/>
  <c r="BC41" i="8"/>
  <c r="AZ27" i="40"/>
  <c r="BC67" i="8"/>
  <c r="BC79" i="8"/>
  <c r="AF122" i="54"/>
  <c r="BI1" i="12"/>
  <c r="BF5" i="40"/>
  <c r="BF9" i="39" s="1"/>
  <c r="BF7" i="40"/>
  <c r="BF59" i="8"/>
  <c r="AZ23" i="39"/>
  <c r="AZ17" i="39"/>
  <c r="AZ16" i="36" s="1"/>
  <c r="AZ21" i="39"/>
  <c r="BC68" i="12"/>
  <c r="BC56" i="12"/>
  <c r="BD10" i="39"/>
  <c r="BD76" i="40"/>
  <c r="BE24" i="12"/>
  <c r="BE21" i="37" s="1"/>
  <c r="AZ31" i="40"/>
  <c r="BA30" i="40"/>
  <c r="BB5" i="12"/>
  <c r="BB58" i="12" s="1"/>
  <c r="BB53" i="12"/>
  <c r="BB46" i="12"/>
  <c r="BB65" i="12"/>
  <c r="AB46" i="54"/>
  <c r="BG1" i="53"/>
  <c r="BG1" i="39"/>
  <c r="BG13" i="12"/>
  <c r="BG14" i="12" s="1"/>
  <c r="BG17" i="8"/>
  <c r="BG7" i="36" s="1"/>
  <c r="BG6" i="37" s="1"/>
  <c r="BG16" i="8"/>
  <c r="BG1" i="40"/>
  <c r="BH1" i="8"/>
  <c r="BF65" i="8"/>
  <c r="BD80" i="8"/>
  <c r="BD73" i="8"/>
  <c r="BH56" i="39"/>
  <c r="BG73" i="39"/>
  <c r="BG74" i="39" s="1"/>
  <c r="BO5" i="36"/>
  <c r="BO6" i="40" s="1"/>
  <c r="AN22" i="15"/>
  <c r="BO7" i="37"/>
  <c r="AG1" i="15"/>
  <c r="AG3" i="15" s="1"/>
  <c r="AF13" i="15"/>
  <c r="BG9" i="40"/>
  <c r="BC22" i="39"/>
  <c r="BD37" i="40"/>
  <c r="BJ46" i="39"/>
  <c r="BJ54" i="39"/>
  <c r="BB18" i="40"/>
  <c r="AY72" i="39"/>
  <c r="AY75" i="40" s="1"/>
  <c r="BA7" i="39"/>
  <c r="BA8" i="39" s="1"/>
  <c r="BA44" i="39" s="1"/>
  <c r="AW58" i="37"/>
  <c r="AU18" i="37"/>
  <c r="AV25" i="37" s="1"/>
  <c r="AV22" i="37" s="1"/>
  <c r="AB110" i="54"/>
  <c r="BH1" i="37"/>
  <c r="BH61" i="12"/>
  <c r="BH49" i="12"/>
  <c r="BH21" i="12"/>
  <c r="BH50" i="12"/>
  <c r="BH24" i="8"/>
  <c r="BH50" i="8"/>
  <c r="BH53" i="8"/>
  <c r="BH10" i="8"/>
  <c r="BH8" i="8"/>
  <c r="BH11" i="8"/>
  <c r="BH52" i="8"/>
  <c r="BF19" i="40" l="1"/>
  <c r="BF8" i="40"/>
  <c r="BH18" i="12"/>
  <c r="BI50" i="12"/>
  <c r="BI61" i="12"/>
  <c r="BI33" i="12"/>
  <c r="BI21" i="12"/>
  <c r="BI47" i="12"/>
  <c r="BI36" i="12"/>
  <c r="BI19" i="12"/>
  <c r="BI49" i="12"/>
  <c r="BI59" i="12"/>
  <c r="BI35" i="12"/>
  <c r="BI62" i="12"/>
  <c r="BI22" i="12"/>
  <c r="BF71" i="8"/>
  <c r="BF68" i="8"/>
  <c r="BF70" i="8"/>
  <c r="U124" i="54" l="1"/>
  <c r="BI6" i="36"/>
  <c r="BJ1" i="36"/>
  <c r="BH44" i="36"/>
  <c r="BH42" i="36" s="1"/>
  <c r="BH18" i="36"/>
  <c r="BA17" i="39"/>
  <c r="BA16" i="36" s="1"/>
  <c r="BA21" i="36" s="1"/>
  <c r="BB22" i="36" s="1"/>
  <c r="BB5" i="39"/>
  <c r="BB6" i="39" s="1"/>
  <c r="BB21" i="39" s="1"/>
  <c r="BB52" i="12"/>
  <c r="BE76" i="40"/>
  <c r="BA23" i="39"/>
  <c r="BB42" i="40"/>
  <c r="BB24" i="40"/>
  <c r="BC16" i="40"/>
  <c r="BC5" i="39" s="1"/>
  <c r="BC6" i="39" s="1"/>
  <c r="BC21" i="39" s="1"/>
  <c r="AZ71" i="39"/>
  <c r="AZ72" i="39" s="1"/>
  <c r="AZ75" i="40" s="1"/>
  <c r="BA70" i="12"/>
  <c r="BA71" i="12" s="1"/>
  <c r="BA23" i="40" s="1"/>
  <c r="BA22" i="40" s="1"/>
  <c r="AZ16" i="39"/>
  <c r="AZ35" i="39" s="1"/>
  <c r="BF76" i="8"/>
  <c r="BF82" i="8" s="1"/>
  <c r="BF74" i="8"/>
  <c r="BF77" i="8"/>
  <c r="BF83" i="8" s="1"/>
  <c r="BI18" i="12"/>
  <c r="BI32" i="12"/>
  <c r="BH62" i="8"/>
  <c r="BH30" i="8"/>
  <c r="BH27" i="8"/>
  <c r="BH7" i="8"/>
  <c r="BH29" i="8"/>
  <c r="BH63" i="8"/>
  <c r="BH60" i="8"/>
  <c r="BH49" i="8"/>
  <c r="AC53" i="54" s="1"/>
  <c r="BG41" i="12"/>
  <c r="BG39" i="12"/>
  <c r="BG28" i="12"/>
  <c r="BG25" i="12"/>
  <c r="BG42" i="12"/>
  <c r="BG27" i="12"/>
  <c r="BG65" i="8"/>
  <c r="AZ26" i="36"/>
  <c r="BA19" i="36"/>
  <c r="BA10" i="36" s="1"/>
  <c r="BA46" i="40" s="1"/>
  <c r="AZ21" i="36"/>
  <c r="BA22" i="36" s="1"/>
  <c r="AG122" i="54"/>
  <c r="BJ1" i="12"/>
  <c r="BC67" i="12"/>
  <c r="BC55" i="12"/>
  <c r="BF38" i="12"/>
  <c r="BF74" i="40" s="1"/>
  <c r="BG26" i="8"/>
  <c r="BF12" i="37"/>
  <c r="BB30" i="40"/>
  <c r="BB27" i="40" s="1"/>
  <c r="BA31" i="40"/>
  <c r="BH15" i="8"/>
  <c r="BA27" i="40"/>
  <c r="BE22" i="8"/>
  <c r="BE36" i="8" s="1"/>
  <c r="BE20" i="8"/>
  <c r="BE34" i="8" s="1"/>
  <c r="BH17" i="8"/>
  <c r="BH7" i="36" s="1"/>
  <c r="BH6" i="37" s="1"/>
  <c r="AC46" i="54"/>
  <c r="BH1" i="53"/>
  <c r="BH1" i="39"/>
  <c r="BH13" i="12"/>
  <c r="BH14" i="12" s="1"/>
  <c r="BH16" i="8"/>
  <c r="BI1" i="8"/>
  <c r="BH1" i="40"/>
  <c r="BG7" i="40"/>
  <c r="BG19" i="40" s="1"/>
  <c r="BG5" i="40"/>
  <c r="BG9" i="39" s="1"/>
  <c r="BB64" i="12"/>
  <c r="BF11" i="40"/>
  <c r="BE9" i="12"/>
  <c r="BE44" i="8"/>
  <c r="BG13" i="8"/>
  <c r="BF23" i="8"/>
  <c r="BF37" i="8" s="1"/>
  <c r="BF14" i="8"/>
  <c r="BD8" i="12"/>
  <c r="BD43" i="8"/>
  <c r="BD33" i="8"/>
  <c r="BD40" i="8" s="1"/>
  <c r="BD6" i="12"/>
  <c r="BD41" i="8"/>
  <c r="BD68" i="12"/>
  <c r="BD56" i="12"/>
  <c r="BF24" i="12"/>
  <c r="BF21" i="37" s="1"/>
  <c r="BE80" i="8"/>
  <c r="BE73" i="8"/>
  <c r="BD79" i="8"/>
  <c r="BD67" i="8"/>
  <c r="BC46" i="12"/>
  <c r="BC65" i="12"/>
  <c r="BC53" i="12"/>
  <c r="BC5" i="12"/>
  <c r="BC58" i="12" s="1"/>
  <c r="BG59" i="8"/>
  <c r="BI56" i="39"/>
  <c r="BH73" i="39"/>
  <c r="BH74" i="39" s="1"/>
  <c r="AH1" i="15"/>
  <c r="AH3" i="15" s="1"/>
  <c r="AG13" i="15"/>
  <c r="BH9" i="40"/>
  <c r="BP5" i="36"/>
  <c r="BP6" i="40" s="1"/>
  <c r="BP7" i="37"/>
  <c r="AO22" i="15"/>
  <c r="BD22" i="39"/>
  <c r="BE37" i="40"/>
  <c r="BK54" i="39"/>
  <c r="BK46" i="39"/>
  <c r="BB7" i="39"/>
  <c r="BB8" i="39" s="1"/>
  <c r="BB44" i="39" s="1"/>
  <c r="BC18" i="40"/>
  <c r="AX64" i="37"/>
  <c r="AX61" i="37" s="1"/>
  <c r="AX60" i="37" s="1"/>
  <c r="AX58" i="37"/>
  <c r="AV20" i="37"/>
  <c r="AV77" i="40" s="1"/>
  <c r="AC110" i="54"/>
  <c r="BI1" i="37"/>
  <c r="BJ33" i="12"/>
  <c r="BJ61" i="12"/>
  <c r="BJ62" i="12"/>
  <c r="BJ49" i="12"/>
  <c r="BJ21" i="12"/>
  <c r="BJ50" i="12"/>
  <c r="BJ19" i="12"/>
  <c r="BJ22" i="12"/>
  <c r="BJ59" i="12"/>
  <c r="BJ36" i="12"/>
  <c r="BJ47" i="12"/>
  <c r="BJ35" i="12"/>
  <c r="BG68" i="8"/>
  <c r="BG71" i="8"/>
  <c r="BG70" i="8"/>
  <c r="BI8" i="8"/>
  <c r="BI24" i="8"/>
  <c r="BI53" i="8"/>
  <c r="BI52" i="8"/>
  <c r="BI10" i="8"/>
  <c r="BI11" i="8"/>
  <c r="BI50" i="8"/>
  <c r="BB70" i="12" l="1"/>
  <c r="BB71" i="12" s="1"/>
  <c r="W124" i="54" s="1"/>
  <c r="BJ6" i="36"/>
  <c r="BK1" i="36"/>
  <c r="BI18" i="36"/>
  <c r="BI44" i="36"/>
  <c r="BI42" i="36" s="1"/>
  <c r="BB19" i="36"/>
  <c r="BB10" i="36" s="1"/>
  <c r="BB46" i="40" s="1"/>
  <c r="BA16" i="39"/>
  <c r="BA35" i="39" s="1"/>
  <c r="BA26" i="36"/>
  <c r="BB23" i="39"/>
  <c r="BB71" i="39" s="1"/>
  <c r="BB17" i="39"/>
  <c r="BB16" i="36" s="1"/>
  <c r="BB21" i="36" s="1"/>
  <c r="BC22" i="36" s="1"/>
  <c r="BA71" i="39"/>
  <c r="BA72" i="39" s="1"/>
  <c r="BA75" i="40" s="1"/>
  <c r="BC42" i="40"/>
  <c r="BC28" i="40"/>
  <c r="V124" i="54"/>
  <c r="BC24" i="40"/>
  <c r="BD16" i="40"/>
  <c r="BD24" i="40" s="1"/>
  <c r="BC52" i="12"/>
  <c r="BG24" i="12"/>
  <c r="BG21" i="37" s="1"/>
  <c r="BC64" i="12"/>
  <c r="BI49" i="8"/>
  <c r="AD53" i="54" s="1"/>
  <c r="BI60" i="8"/>
  <c r="BI30" i="8"/>
  <c r="BI29" i="8"/>
  <c r="BI62" i="8"/>
  <c r="BI63" i="8"/>
  <c r="BI7" i="8"/>
  <c r="BI27" i="8"/>
  <c r="BG76" i="8"/>
  <c r="BG82" i="8" s="1"/>
  <c r="BG77" i="8"/>
  <c r="BG83" i="8" s="1"/>
  <c r="BG74" i="8"/>
  <c r="BJ18" i="12"/>
  <c r="BJ32" i="12"/>
  <c r="BH25" i="12"/>
  <c r="BH28" i="12"/>
  <c r="BH41" i="12"/>
  <c r="BH39" i="12"/>
  <c r="BH27" i="12"/>
  <c r="BH42" i="12"/>
  <c r="BE8" i="12"/>
  <c r="BE43" i="8"/>
  <c r="BD67" i="12"/>
  <c r="BD55" i="12"/>
  <c r="BH5" i="40"/>
  <c r="BH9" i="39" s="1"/>
  <c r="BH7" i="40"/>
  <c r="BH19" i="40" s="1"/>
  <c r="BG11" i="40"/>
  <c r="BG38" i="12"/>
  <c r="BG74" i="40" s="1"/>
  <c r="BH26" i="8"/>
  <c r="BG12" i="37"/>
  <c r="BH59" i="8"/>
  <c r="BI15" i="8"/>
  <c r="BF80" i="8"/>
  <c r="BF73" i="8"/>
  <c r="BE79" i="8"/>
  <c r="BE67" i="8"/>
  <c r="BF10" i="39"/>
  <c r="BF76" i="40"/>
  <c r="BC17" i="39"/>
  <c r="BC16" i="36" s="1"/>
  <c r="BC23" i="39"/>
  <c r="BG8" i="40"/>
  <c r="BH13" i="8"/>
  <c r="BG23" i="8"/>
  <c r="BG37" i="8" s="1"/>
  <c r="BG14" i="8"/>
  <c r="BE41" i="8"/>
  <c r="BE33" i="8"/>
  <c r="BE40" i="8" s="1"/>
  <c r="BE6" i="12"/>
  <c r="BC30" i="40"/>
  <c r="BB31" i="40"/>
  <c r="AD46" i="54"/>
  <c r="BI1" i="53"/>
  <c r="BI1" i="39"/>
  <c r="BI13" i="12"/>
  <c r="BI14" i="12" s="1"/>
  <c r="BI17" i="8"/>
  <c r="BI7" i="36" s="1"/>
  <c r="BI6" i="37" s="1"/>
  <c r="BI16" i="8"/>
  <c r="BI1" i="40"/>
  <c r="BJ1" i="8"/>
  <c r="BH65" i="8"/>
  <c r="BE68" i="12"/>
  <c r="BE56" i="12"/>
  <c r="BF22" i="8"/>
  <c r="BF36" i="8" s="1"/>
  <c r="BF20" i="8"/>
  <c r="BF34" i="8" s="1"/>
  <c r="BD65" i="12"/>
  <c r="BD5" i="12"/>
  <c r="BD58" i="12" s="1"/>
  <c r="BD53" i="12"/>
  <c r="BD46" i="12"/>
  <c r="BF9" i="12"/>
  <c r="BF44" i="8"/>
  <c r="AH122" i="54"/>
  <c r="BK1" i="12"/>
  <c r="BJ56" i="39"/>
  <c r="BI73" i="39"/>
  <c r="BI74" i="39" s="1"/>
  <c r="AI1" i="15"/>
  <c r="AI3" i="15" s="1"/>
  <c r="AH13" i="15"/>
  <c r="BQ7" i="37"/>
  <c r="AP22" i="15"/>
  <c r="BQ5" i="36"/>
  <c r="BQ6" i="40" s="1"/>
  <c r="BI9" i="40"/>
  <c r="BE22" i="39"/>
  <c r="BF37" i="40"/>
  <c r="BL46" i="39"/>
  <c r="BL54" i="39"/>
  <c r="BC7" i="39"/>
  <c r="BC8" i="39" s="1"/>
  <c r="BC44" i="39" s="1"/>
  <c r="BD18" i="40"/>
  <c r="AY64" i="37"/>
  <c r="AY61" i="37" s="1"/>
  <c r="AY60" i="37" s="1"/>
  <c r="AV18" i="37"/>
  <c r="AW25" i="37" s="1"/>
  <c r="AW22" i="37" s="1"/>
  <c r="AD110" i="54"/>
  <c r="BJ1" i="37"/>
  <c r="BH68" i="8"/>
  <c r="BH71" i="8"/>
  <c r="BH70" i="8"/>
  <c r="BJ24" i="8"/>
  <c r="BJ11" i="8"/>
  <c r="BJ50" i="8"/>
  <c r="BJ52" i="8"/>
  <c r="BJ53" i="8"/>
  <c r="BJ10" i="8"/>
  <c r="BJ8" i="8"/>
  <c r="BK50" i="12"/>
  <c r="BK49" i="12"/>
  <c r="BK35" i="12"/>
  <c r="BK61" i="12"/>
  <c r="BK62" i="12"/>
  <c r="BK47" i="12"/>
  <c r="BK36" i="12"/>
  <c r="BK59" i="12"/>
  <c r="BK33" i="12"/>
  <c r="BK22" i="12"/>
  <c r="BK19" i="12"/>
  <c r="BH8" i="40" l="1"/>
  <c r="AY58" i="37"/>
  <c r="BB23" i="40"/>
  <c r="BB22" i="40" s="1"/>
  <c r="BC19" i="36"/>
  <c r="BC10" i="36" s="1"/>
  <c r="BC46" i="40" s="1"/>
  <c r="BD28" i="40"/>
  <c r="BK6" i="36"/>
  <c r="BL1" i="36"/>
  <c r="BJ44" i="36"/>
  <c r="BJ42" i="36" s="1"/>
  <c r="BJ18" i="36"/>
  <c r="BB72" i="39"/>
  <c r="BB75" i="40" s="1"/>
  <c r="BB16" i="39"/>
  <c r="BB35" i="39" s="1"/>
  <c r="BB26" i="36"/>
  <c r="BD5" i="39"/>
  <c r="BD6" i="39" s="1"/>
  <c r="BD21" i="39" s="1"/>
  <c r="BH11" i="40"/>
  <c r="BH10" i="39" s="1"/>
  <c r="BE16" i="40"/>
  <c r="BE42" i="40" s="1"/>
  <c r="BD52" i="12"/>
  <c r="BC27" i="40"/>
  <c r="BD42" i="40"/>
  <c r="BC70" i="12"/>
  <c r="BC71" i="12" s="1"/>
  <c r="BC23" i="40" s="1"/>
  <c r="BC22" i="40" s="1"/>
  <c r="BD64" i="12"/>
  <c r="BH38" i="12"/>
  <c r="BH74" i="40" s="1"/>
  <c r="BK32" i="12"/>
  <c r="BJ7" i="8"/>
  <c r="BJ27" i="8"/>
  <c r="BJ29" i="8"/>
  <c r="BJ63" i="8"/>
  <c r="BJ62" i="8"/>
  <c r="BJ60" i="8"/>
  <c r="BJ49" i="8"/>
  <c r="AE53" i="54" s="1"/>
  <c r="BJ30" i="8"/>
  <c r="BH76" i="8"/>
  <c r="BH82" i="8" s="1"/>
  <c r="BH77" i="8"/>
  <c r="BH83" i="8" s="1"/>
  <c r="BH74" i="8"/>
  <c r="BI28" i="12"/>
  <c r="BI27" i="12"/>
  <c r="BI41" i="12"/>
  <c r="BI39" i="12"/>
  <c r="BI25" i="12"/>
  <c r="BI42" i="12"/>
  <c r="BG22" i="8"/>
  <c r="BG36" i="8" s="1"/>
  <c r="BG20" i="8"/>
  <c r="BG34" i="8" s="1"/>
  <c r="BC26" i="36"/>
  <c r="BC21" i="36"/>
  <c r="BD22" i="36" s="1"/>
  <c r="BD19" i="36"/>
  <c r="BD10" i="36" s="1"/>
  <c r="BD46" i="40" s="1"/>
  <c r="BC16" i="39"/>
  <c r="BC35" i="39" s="1"/>
  <c r="BI13" i="8"/>
  <c r="BH23" i="8"/>
  <c r="BH37" i="8" s="1"/>
  <c r="BH14" i="8"/>
  <c r="AD48" i="54"/>
  <c r="BH12" i="37"/>
  <c r="BI26" i="8"/>
  <c r="BF56" i="12"/>
  <c r="BF68" i="12"/>
  <c r="AI122" i="54"/>
  <c r="BL1" i="12"/>
  <c r="BJ1" i="40"/>
  <c r="BJ1" i="53"/>
  <c r="BJ1" i="39"/>
  <c r="BJ13" i="12"/>
  <c r="BJ14" i="12" s="1"/>
  <c r="AE46" i="54"/>
  <c r="BK1" i="8"/>
  <c r="BJ16" i="8"/>
  <c r="BJ17" i="8"/>
  <c r="BJ7" i="36" s="1"/>
  <c r="BJ6" i="37" s="1"/>
  <c r="BE67" i="12"/>
  <c r="BE55" i="12"/>
  <c r="BH24" i="12"/>
  <c r="BH21" i="37" s="1"/>
  <c r="BG44" i="8"/>
  <c r="BG9" i="12"/>
  <c r="BI7" i="40"/>
  <c r="BI8" i="40" s="1"/>
  <c r="BI5" i="40"/>
  <c r="BI9" i="39" s="1"/>
  <c r="BD30" i="40"/>
  <c r="BC31" i="40"/>
  <c r="BJ15" i="8"/>
  <c r="BE53" i="12"/>
  <c r="BE46" i="12"/>
  <c r="BE65" i="12"/>
  <c r="BE5" i="12"/>
  <c r="BE58" i="12" s="1"/>
  <c r="BF41" i="8"/>
  <c r="BF33" i="8"/>
  <c r="BF40" i="8" s="1"/>
  <c r="BF6" i="12"/>
  <c r="BF67" i="8"/>
  <c r="BF79" i="8"/>
  <c r="BG73" i="8"/>
  <c r="BG80" i="8"/>
  <c r="BF43" i="8"/>
  <c r="BF8" i="12"/>
  <c r="BI65" i="8"/>
  <c r="BG10" i="39"/>
  <c r="BG76" i="40"/>
  <c r="BI59" i="8"/>
  <c r="BK56" i="39"/>
  <c r="BJ73" i="39"/>
  <c r="BJ74" i="39" s="1"/>
  <c r="BR5" i="36"/>
  <c r="BR6" i="40" s="1"/>
  <c r="BR7" i="37"/>
  <c r="AQ22" i="15"/>
  <c r="AJ1" i="15"/>
  <c r="AJ3" i="15" s="1"/>
  <c r="AI13" i="15"/>
  <c r="BJ9" i="40"/>
  <c r="BF22" i="39"/>
  <c r="BG37" i="40"/>
  <c r="BM54" i="39"/>
  <c r="BM46" i="39"/>
  <c r="BD7" i="39"/>
  <c r="BD8" i="39" s="1"/>
  <c r="BD44" i="39" s="1"/>
  <c r="BE18" i="40"/>
  <c r="BC71" i="39"/>
  <c r="BC72" i="39" s="1"/>
  <c r="BC75" i="40" s="1"/>
  <c r="AZ64" i="37"/>
  <c r="AZ61" i="37" s="1"/>
  <c r="AZ60" i="37" s="1"/>
  <c r="AW20" i="37"/>
  <c r="AW77" i="40" s="1"/>
  <c r="AE110" i="54"/>
  <c r="BK1" i="37"/>
  <c r="BK21" i="12"/>
  <c r="BL49" i="12"/>
  <c r="BL61" i="12"/>
  <c r="BL47" i="12"/>
  <c r="BL59" i="12"/>
  <c r="BL33" i="12"/>
  <c r="BI19" i="40" l="1"/>
  <c r="BK18" i="12"/>
  <c r="BL62" i="12"/>
  <c r="BL50" i="12"/>
  <c r="BL35" i="12"/>
  <c r="BL19" i="12"/>
  <c r="BL36" i="12"/>
  <c r="BL22" i="12"/>
  <c r="BL21" i="12"/>
  <c r="BI70" i="8"/>
  <c r="BI68" i="8"/>
  <c r="BI71" i="8"/>
  <c r="BK24" i="8"/>
  <c r="BK52" i="8"/>
  <c r="BK50" i="8"/>
  <c r="BK11" i="8"/>
  <c r="BK10" i="8"/>
  <c r="BK53" i="8"/>
  <c r="BK8" i="8"/>
  <c r="BD27" i="40" l="1"/>
  <c r="BM1" i="36"/>
  <c r="BL6" i="36"/>
  <c r="BK44" i="36"/>
  <c r="BK42" i="36" s="1"/>
  <c r="BK18" i="36"/>
  <c r="BD17" i="39"/>
  <c r="BD16" i="36" s="1"/>
  <c r="BD26" i="36" s="1"/>
  <c r="BD23" i="39"/>
  <c r="BD70" i="12"/>
  <c r="BD71" i="12" s="1"/>
  <c r="BD23" i="40" s="1"/>
  <c r="BD22" i="40" s="1"/>
  <c r="BE28" i="40"/>
  <c r="BH76" i="40"/>
  <c r="BE5" i="39"/>
  <c r="BE6" i="39" s="1"/>
  <c r="BE21" i="39" s="1"/>
  <c r="BE24" i="40"/>
  <c r="X124" i="54"/>
  <c r="BE64" i="12"/>
  <c r="BE52" i="12"/>
  <c r="BI24" i="12"/>
  <c r="BI21" i="37" s="1"/>
  <c r="BI38" i="12"/>
  <c r="BI74" i="40" s="1"/>
  <c r="BK7" i="8"/>
  <c r="BK27" i="8"/>
  <c r="BK63" i="8"/>
  <c r="BK29" i="8"/>
  <c r="BK30" i="8"/>
  <c r="BK49" i="8"/>
  <c r="AF53" i="54" s="1"/>
  <c r="BK60" i="8"/>
  <c r="BK62" i="8"/>
  <c r="BI77" i="8"/>
  <c r="BI83" i="8" s="1"/>
  <c r="BI74" i="8"/>
  <c r="BI76" i="8"/>
  <c r="BI82" i="8" s="1"/>
  <c r="BL18" i="12"/>
  <c r="BL32" i="12"/>
  <c r="BJ39" i="12"/>
  <c r="BJ41" i="12"/>
  <c r="BJ27" i="12"/>
  <c r="BJ42" i="12"/>
  <c r="BJ28" i="12"/>
  <c r="BJ25" i="12"/>
  <c r="BI11" i="40"/>
  <c r="BK1" i="53"/>
  <c r="AF46" i="54"/>
  <c r="BK1" i="40"/>
  <c r="BL1" i="8"/>
  <c r="BK1" i="39"/>
  <c r="BK13" i="12"/>
  <c r="BK14" i="12" s="1"/>
  <c r="BK17" i="8"/>
  <c r="BK7" i="36" s="1"/>
  <c r="BK6" i="37" s="1"/>
  <c r="BK16" i="8"/>
  <c r="BJ26" i="8"/>
  <c r="BI12" i="37"/>
  <c r="BG79" i="8"/>
  <c r="BG67" i="8"/>
  <c r="BF65" i="12"/>
  <c r="BF53" i="12"/>
  <c r="BF5" i="12"/>
  <c r="BF58" i="12" s="1"/>
  <c r="BF46" i="12"/>
  <c r="BE30" i="40"/>
  <c r="BD31" i="40"/>
  <c r="BJ59" i="8"/>
  <c r="BG56" i="12"/>
  <c r="BG68" i="12"/>
  <c r="BF16" i="40"/>
  <c r="BG41" i="8"/>
  <c r="BG6" i="12"/>
  <c r="BG33" i="8"/>
  <c r="BG40" i="8" s="1"/>
  <c r="BJ5" i="40"/>
  <c r="BJ9" i="39" s="1"/>
  <c r="BJ7" i="40"/>
  <c r="BJ19" i="40" s="1"/>
  <c r="BH22" i="8"/>
  <c r="BH36" i="8" s="1"/>
  <c r="BH20" i="8"/>
  <c r="BH34" i="8" s="1"/>
  <c r="BG43" i="8"/>
  <c r="BG8" i="12"/>
  <c r="BJ65" i="8"/>
  <c r="BK15" i="8"/>
  <c r="AJ122" i="54"/>
  <c r="BM1" i="12"/>
  <c r="BH44" i="8"/>
  <c r="BH9" i="12"/>
  <c r="BH80" i="8"/>
  <c r="BH73" i="8"/>
  <c r="BF67" i="12"/>
  <c r="BF55" i="12"/>
  <c r="BJ13" i="8"/>
  <c r="BI23" i="8"/>
  <c r="BI37" i="8" s="1"/>
  <c r="BI14" i="8"/>
  <c r="BL56" i="39"/>
  <c r="BK73" i="39"/>
  <c r="BK74" i="39" s="1"/>
  <c r="BS7" i="37"/>
  <c r="AR22" i="15"/>
  <c r="BS5" i="36"/>
  <c r="BS6" i="40" s="1"/>
  <c r="AK1" i="15"/>
  <c r="AK3" i="15" s="1"/>
  <c r="AJ13" i="15"/>
  <c r="BK9" i="40"/>
  <c r="BG22" i="39"/>
  <c r="BH37" i="40"/>
  <c r="BN46" i="39"/>
  <c r="BN54" i="39"/>
  <c r="BE7" i="39"/>
  <c r="BE8" i="39" s="1"/>
  <c r="BE44" i="39" s="1"/>
  <c r="BF18" i="40"/>
  <c r="AZ58" i="37"/>
  <c r="AW18" i="37"/>
  <c r="AX25" i="37" s="1"/>
  <c r="AX22" i="37" s="1"/>
  <c r="AF110" i="54"/>
  <c r="BL1" i="37"/>
  <c r="BJ70" i="8"/>
  <c r="BJ71" i="8"/>
  <c r="BJ68" i="8"/>
  <c r="BM19" i="12"/>
  <c r="BM35" i="12"/>
  <c r="BM50" i="12"/>
  <c r="BM33" i="12"/>
  <c r="BM22" i="12"/>
  <c r="BM36" i="12"/>
  <c r="BM59" i="12"/>
  <c r="BM21" i="12"/>
  <c r="BM47" i="12"/>
  <c r="BM49" i="12"/>
  <c r="BM61" i="12"/>
  <c r="BM62" i="12"/>
  <c r="BL52" i="8"/>
  <c r="BL8" i="8"/>
  <c r="BL53" i="8"/>
  <c r="BL11" i="8"/>
  <c r="BL24" i="8"/>
  <c r="BL50" i="8"/>
  <c r="BL10" i="8"/>
  <c r="BJ8" i="40" l="1"/>
  <c r="BD16" i="39"/>
  <c r="BD35" i="39" s="1"/>
  <c r="BD21" i="36"/>
  <c r="BE22" i="36" s="1"/>
  <c r="BG16" i="40"/>
  <c r="BG24" i="40" s="1"/>
  <c r="BL44" i="36"/>
  <c r="BL42" i="36" s="1"/>
  <c r="BL18" i="36"/>
  <c r="BN1" i="36"/>
  <c r="BM6" i="36"/>
  <c r="Y124" i="54"/>
  <c r="BD71" i="39"/>
  <c r="BD72" i="39" s="1"/>
  <c r="BD75" i="40" s="1"/>
  <c r="BE19" i="36"/>
  <c r="BE10" i="36" s="1"/>
  <c r="BE46" i="40" s="1"/>
  <c r="BE23" i="39"/>
  <c r="BE71" i="39" s="1"/>
  <c r="BE17" i="39"/>
  <c r="BE16" i="36" s="1"/>
  <c r="BF19" i="36" s="1"/>
  <c r="BF10" i="36" s="1"/>
  <c r="BF46" i="40" s="1"/>
  <c r="BE70" i="12"/>
  <c r="BE71" i="12" s="1"/>
  <c r="Z124" i="54" s="1"/>
  <c r="BF64" i="12"/>
  <c r="BL29" i="8"/>
  <c r="BL49" i="8"/>
  <c r="AG53" i="54" s="1"/>
  <c r="BL60" i="8"/>
  <c r="BL30" i="8"/>
  <c r="BL63" i="8"/>
  <c r="BL7" i="8"/>
  <c r="BL27" i="8"/>
  <c r="BL62" i="8"/>
  <c r="BM32" i="12"/>
  <c r="BM18" i="12"/>
  <c r="BJ74" i="8"/>
  <c r="BJ77" i="8"/>
  <c r="BJ83" i="8" s="1"/>
  <c r="BJ76" i="8"/>
  <c r="BJ82" i="8" s="1"/>
  <c r="BK25" i="12"/>
  <c r="BK28" i="12"/>
  <c r="BK41" i="12"/>
  <c r="BK27" i="12"/>
  <c r="BK39" i="12"/>
  <c r="BK42" i="12"/>
  <c r="BH56" i="12"/>
  <c r="BH68" i="12"/>
  <c r="BE31" i="40"/>
  <c r="BF30" i="40"/>
  <c r="AG46" i="54"/>
  <c r="AG51" i="54" s="1"/>
  <c r="BL1" i="40"/>
  <c r="BL1" i="53"/>
  <c r="BL13" i="12"/>
  <c r="BL14" i="12" s="1"/>
  <c r="BM1" i="8"/>
  <c r="BL17" i="8"/>
  <c r="BL7" i="36" s="1"/>
  <c r="BL6" i="37" s="1"/>
  <c r="BL16" i="8"/>
  <c r="BL15" i="8" s="1"/>
  <c r="BL1" i="39"/>
  <c r="BK59" i="8"/>
  <c r="BG55" i="12"/>
  <c r="BG67" i="12"/>
  <c r="BJ11" i="40"/>
  <c r="BE27" i="40"/>
  <c r="BK7" i="40"/>
  <c r="BK19" i="40" s="1"/>
  <c r="BK5" i="40"/>
  <c r="BK9" i="39" s="1"/>
  <c r="BH79" i="8"/>
  <c r="BH67" i="8"/>
  <c r="BI20" i="8"/>
  <c r="BI34" i="8" s="1"/>
  <c r="BI22" i="8"/>
  <c r="BI36" i="8" s="1"/>
  <c r="BN1" i="12"/>
  <c r="BJ38" i="12"/>
  <c r="BJ74" i="40" s="1"/>
  <c r="BI44" i="8"/>
  <c r="BI9" i="12"/>
  <c r="BH41" i="8"/>
  <c r="BH6" i="12"/>
  <c r="BH33" i="8"/>
  <c r="BH40" i="8" s="1"/>
  <c r="BK65" i="8"/>
  <c r="BF28" i="40"/>
  <c r="BF42" i="40"/>
  <c r="BF5" i="39"/>
  <c r="BF6" i="39" s="1"/>
  <c r="BF24" i="40"/>
  <c r="BK13" i="8"/>
  <c r="BJ23" i="8"/>
  <c r="BJ37" i="8" s="1"/>
  <c r="BJ14" i="8"/>
  <c r="BH43" i="8"/>
  <c r="BH8" i="12"/>
  <c r="BG53" i="12"/>
  <c r="BG5" i="12"/>
  <c r="BG58" i="12" s="1"/>
  <c r="BG65" i="12"/>
  <c r="BG46" i="12"/>
  <c r="BI10" i="39"/>
  <c r="BI76" i="40"/>
  <c r="BF52" i="12"/>
  <c r="BJ24" i="12"/>
  <c r="BJ21" i="37" s="1"/>
  <c r="BI80" i="8"/>
  <c r="BI73" i="8"/>
  <c r="AF48" i="54"/>
  <c r="BK26" i="8"/>
  <c r="BJ12" i="37"/>
  <c r="BM56" i="39"/>
  <c r="BL73" i="39"/>
  <c r="BL74" i="39" s="1"/>
  <c r="AL1" i="15"/>
  <c r="AL3" i="15" s="1"/>
  <c r="AK13" i="15"/>
  <c r="BL9" i="40"/>
  <c r="BT7" i="37"/>
  <c r="AS22" i="15"/>
  <c r="BT5" i="36"/>
  <c r="BT6" i="40" s="1"/>
  <c r="BH22" i="39"/>
  <c r="BI37" i="40"/>
  <c r="BO54" i="39"/>
  <c r="BO46" i="39"/>
  <c r="BF7" i="39"/>
  <c r="BF8" i="39" s="1"/>
  <c r="BF44" i="39" s="1"/>
  <c r="BG18" i="40"/>
  <c r="BA64" i="37"/>
  <c r="BA61" i="37" s="1"/>
  <c r="BA60" i="37" s="1"/>
  <c r="AX20" i="37"/>
  <c r="AX77" i="40" s="1"/>
  <c r="BM1" i="37"/>
  <c r="AG110" i="54"/>
  <c r="BN36" i="12"/>
  <c r="BN59" i="12"/>
  <c r="BN47" i="12"/>
  <c r="BN50" i="12"/>
  <c r="BN21" i="12"/>
  <c r="BN35" i="12"/>
  <c r="BN19" i="12"/>
  <c r="BN22" i="12"/>
  <c r="BN61" i="12"/>
  <c r="BN33" i="12"/>
  <c r="BN49" i="12"/>
  <c r="BN62" i="12"/>
  <c r="BK71" i="8"/>
  <c r="BK68" i="8"/>
  <c r="BK70" i="8"/>
  <c r="BM24" i="8"/>
  <c r="BM50" i="8"/>
  <c r="BM8" i="8"/>
  <c r="BM52" i="8"/>
  <c r="BM53" i="8"/>
  <c r="BM11" i="8"/>
  <c r="BM10" i="8"/>
  <c r="BK8" i="40" l="1"/>
  <c r="BG5" i="39"/>
  <c r="BG6" i="39" s="1"/>
  <c r="BG21" i="39" s="1"/>
  <c r="BG28" i="40"/>
  <c r="BK11" i="40"/>
  <c r="BK30" i="40" s="1"/>
  <c r="BG42" i="40"/>
  <c r="BM44" i="36"/>
  <c r="BM42" i="36" s="1"/>
  <c r="BM18" i="36"/>
  <c r="BN6" i="36"/>
  <c r="BO1" i="36"/>
  <c r="BE72" i="39"/>
  <c r="BE75" i="40" s="1"/>
  <c r="BE26" i="36"/>
  <c r="BF70" i="12"/>
  <c r="BF71" i="12" s="1"/>
  <c r="BF23" i="40" s="1"/>
  <c r="BF22" i="40" s="1"/>
  <c r="BE21" i="36"/>
  <c r="BF22" i="36" s="1"/>
  <c r="BE23" i="40"/>
  <c r="BE22" i="40" s="1"/>
  <c r="BE16" i="39"/>
  <c r="BE35" i="39" s="1"/>
  <c r="BJ37" i="40"/>
  <c r="AG48" i="54"/>
  <c r="BK38" i="12"/>
  <c r="BK74" i="40" s="1"/>
  <c r="BG64" i="12"/>
  <c r="BM29" i="8"/>
  <c r="BM30" i="8"/>
  <c r="BM63" i="8"/>
  <c r="BM62" i="8"/>
  <c r="BM7" i="8"/>
  <c r="BM27" i="8"/>
  <c r="BM60" i="8"/>
  <c r="BM49" i="8"/>
  <c r="AH53" i="54" s="1"/>
  <c r="BK76" i="8"/>
  <c r="BK82" i="8" s="1"/>
  <c r="BK74" i="8"/>
  <c r="BK77" i="8"/>
  <c r="BK83" i="8" s="1"/>
  <c r="BN32" i="12"/>
  <c r="BN18" i="12"/>
  <c r="BL41" i="12"/>
  <c r="BL39" i="12"/>
  <c r="BL27" i="12"/>
  <c r="BL28" i="12"/>
  <c r="BL25" i="12"/>
  <c r="BL42" i="12"/>
  <c r="BJ44" i="8"/>
  <c r="BJ9" i="12"/>
  <c r="BL13" i="8"/>
  <c r="BK23" i="8"/>
  <c r="BK37" i="8" s="1"/>
  <c r="BK14" i="8"/>
  <c r="BG52" i="12"/>
  <c r="AH46" i="54"/>
  <c r="AH51" i="54" s="1"/>
  <c r="BM1" i="40"/>
  <c r="BN1" i="8"/>
  <c r="BM17" i="8"/>
  <c r="BM7" i="36" s="1"/>
  <c r="BM6" i="37" s="1"/>
  <c r="BM16" i="8"/>
  <c r="BM15" i="8" s="1"/>
  <c r="BM1" i="39"/>
  <c r="BM13" i="12"/>
  <c r="BM14" i="12" s="1"/>
  <c r="BH67" i="12"/>
  <c r="BH55" i="12"/>
  <c r="BH16" i="40"/>
  <c r="BK24" i="12"/>
  <c r="BK21" i="37" s="1"/>
  <c r="BK12" i="37"/>
  <c r="BL26" i="8"/>
  <c r="BG30" i="40"/>
  <c r="BF31" i="40"/>
  <c r="BF27" i="40"/>
  <c r="BJ80" i="8"/>
  <c r="BJ73" i="8"/>
  <c r="BL65" i="8"/>
  <c r="BH53" i="12"/>
  <c r="BH5" i="12"/>
  <c r="BH58" i="12" s="1"/>
  <c r="BH65" i="12"/>
  <c r="BH46" i="12"/>
  <c r="BO1" i="12"/>
  <c r="BJ76" i="40"/>
  <c r="BJ47" i="40"/>
  <c r="BJ10" i="39"/>
  <c r="BJ30" i="40"/>
  <c r="BI8" i="12"/>
  <c r="BI43" i="8"/>
  <c r="BL7" i="40"/>
  <c r="BL19" i="40" s="1"/>
  <c r="BL5" i="40"/>
  <c r="BL9" i="39" s="1"/>
  <c r="BI79" i="8"/>
  <c r="BI67" i="8"/>
  <c r="BJ22" i="8"/>
  <c r="BJ36" i="8" s="1"/>
  <c r="BJ20" i="8"/>
  <c r="BJ34" i="8" s="1"/>
  <c r="BF17" i="39"/>
  <c r="BF16" i="36" s="1"/>
  <c r="BF23" i="39"/>
  <c r="BF21" i="39"/>
  <c r="BI68" i="12"/>
  <c r="BI56" i="12"/>
  <c r="BI33" i="8"/>
  <c r="BI40" i="8" s="1"/>
  <c r="BI6" i="12"/>
  <c r="BI41" i="8"/>
  <c r="BL59" i="8"/>
  <c r="BN56" i="39"/>
  <c r="BM73" i="39"/>
  <c r="BM74" i="39" s="1"/>
  <c r="AT22" i="15"/>
  <c r="BU5" i="36"/>
  <c r="BU6" i="40" s="1"/>
  <c r="BU7" i="37"/>
  <c r="BM9" i="40"/>
  <c r="AL13" i="15"/>
  <c r="AM1" i="15"/>
  <c r="AM3" i="15" s="1"/>
  <c r="BI22" i="39"/>
  <c r="BP46" i="39"/>
  <c r="BP54" i="39"/>
  <c r="BG7" i="39"/>
  <c r="BG8" i="39" s="1"/>
  <c r="BG44" i="39" s="1"/>
  <c r="BH18" i="40"/>
  <c r="BA58" i="37"/>
  <c r="AX18" i="37"/>
  <c r="AY25" i="37" s="1"/>
  <c r="AY22" i="37" s="1"/>
  <c r="AH110" i="54"/>
  <c r="BN1" i="37"/>
  <c r="BN11" i="8"/>
  <c r="BN50" i="8"/>
  <c r="BN24" i="8"/>
  <c r="BN8" i="8"/>
  <c r="BN53" i="8"/>
  <c r="BN52" i="8"/>
  <c r="BN10" i="8"/>
  <c r="BL70" i="8"/>
  <c r="BL68" i="8"/>
  <c r="BL71" i="8"/>
  <c r="BO61" i="12"/>
  <c r="BO59" i="12"/>
  <c r="BO21" i="12"/>
  <c r="BO19" i="12"/>
  <c r="BO36" i="12"/>
  <c r="BO49" i="12"/>
  <c r="BO22" i="12"/>
  <c r="BO62" i="12"/>
  <c r="BO50" i="12"/>
  <c r="BO47" i="12"/>
  <c r="BO33" i="12"/>
  <c r="BG27" i="40" l="1"/>
  <c r="BG17" i="39"/>
  <c r="BG16" i="36" s="1"/>
  <c r="BH19" i="36" s="1"/>
  <c r="BH10" i="36" s="1"/>
  <c r="BH46" i="40" s="1"/>
  <c r="BK10" i="39"/>
  <c r="BK47" i="40"/>
  <c r="BK76" i="40"/>
  <c r="BK37" i="40"/>
  <c r="BG23" i="39"/>
  <c r="BG71" i="39" s="1"/>
  <c r="BO6" i="36"/>
  <c r="BP1" i="36"/>
  <c r="BN44" i="36"/>
  <c r="BN42" i="36" s="1"/>
  <c r="BN18" i="36"/>
  <c r="AA124" i="54"/>
  <c r="BH52" i="12"/>
  <c r="BH64" i="12"/>
  <c r="BG70" i="12"/>
  <c r="BG71" i="12" s="1"/>
  <c r="AB124" i="54" s="1"/>
  <c r="BF16" i="39"/>
  <c r="BF35" i="39" s="1"/>
  <c r="BL24" i="12"/>
  <c r="BL21" i="37" s="1"/>
  <c r="BL38" i="12"/>
  <c r="BL74" i="40" s="1"/>
  <c r="BO18" i="12"/>
  <c r="BL77" i="8"/>
  <c r="BL83" i="8" s="1"/>
  <c r="BL74" i="8"/>
  <c r="BL76" i="8"/>
  <c r="BL82" i="8" s="1"/>
  <c r="BN29" i="8"/>
  <c r="BN62" i="8"/>
  <c r="BN63" i="8"/>
  <c r="BN7" i="8"/>
  <c r="BN27" i="8"/>
  <c r="BN60" i="8"/>
  <c r="BN49" i="8"/>
  <c r="BN30" i="8"/>
  <c r="BM28" i="12"/>
  <c r="BM39" i="12"/>
  <c r="BM42" i="12"/>
  <c r="BM41" i="12"/>
  <c r="BM27" i="12"/>
  <c r="BM25" i="12"/>
  <c r="BL8" i="40"/>
  <c r="BM59" i="8"/>
  <c r="BF26" i="36"/>
  <c r="BF21" i="36"/>
  <c r="BG22" i="36" s="1"/>
  <c r="BG19" i="36"/>
  <c r="BG10" i="36" s="1"/>
  <c r="BG46" i="40" s="1"/>
  <c r="AH48" i="54"/>
  <c r="BL12" i="37"/>
  <c r="BM26" i="8"/>
  <c r="BH5" i="39"/>
  <c r="BH6" i="39" s="1"/>
  <c r="BH28" i="40"/>
  <c r="BH24" i="40"/>
  <c r="BH42" i="40"/>
  <c r="BH30" i="40"/>
  <c r="BG31" i="40"/>
  <c r="BF71" i="39"/>
  <c r="BF72" i="39" s="1"/>
  <c r="BF75" i="40" s="1"/>
  <c r="BL11" i="40"/>
  <c r="BK22" i="8"/>
  <c r="BK36" i="8" s="1"/>
  <c r="BK20" i="8"/>
  <c r="BK34" i="8" s="1"/>
  <c r="BJ6" i="12"/>
  <c r="BJ41" i="8"/>
  <c r="BJ33" i="8"/>
  <c r="BJ40" i="8" s="1"/>
  <c r="BI5" i="12"/>
  <c r="BI58" i="12" s="1"/>
  <c r="BI53" i="12"/>
  <c r="BI46" i="12"/>
  <c r="BI65" i="12"/>
  <c r="BJ8" i="12"/>
  <c r="BJ43" i="8"/>
  <c r="BP1" i="12"/>
  <c r="BI16" i="40"/>
  <c r="BI67" i="12"/>
  <c r="BI55" i="12"/>
  <c r="BM65" i="8"/>
  <c r="BN1" i="39"/>
  <c r="BN13" i="12"/>
  <c r="BN14" i="12" s="1"/>
  <c r="AI46" i="54"/>
  <c r="AI51" i="54" s="1"/>
  <c r="BN1" i="40"/>
  <c r="BN16" i="8"/>
  <c r="BN15" i="8" s="1"/>
  <c r="BN17" i="8"/>
  <c r="BN7" i="36" s="1"/>
  <c r="BN6" i="37" s="1"/>
  <c r="BO1" i="8"/>
  <c r="BK9" i="12"/>
  <c r="BK44" i="8"/>
  <c r="BJ79" i="8"/>
  <c r="BJ67" i="8"/>
  <c r="BM5" i="40"/>
  <c r="BM9" i="39" s="1"/>
  <c r="BM7" i="40"/>
  <c r="BM19" i="40" s="1"/>
  <c r="BM13" i="8"/>
  <c r="BL23" i="8"/>
  <c r="BL37" i="8" s="1"/>
  <c r="BL14" i="8"/>
  <c r="BK80" i="8"/>
  <c r="BK73" i="8"/>
  <c r="BJ56" i="12"/>
  <c r="BJ68" i="12"/>
  <c r="BO56" i="39"/>
  <c r="BN73" i="39"/>
  <c r="BN74" i="39" s="1"/>
  <c r="BN9" i="40"/>
  <c r="AN1" i="15"/>
  <c r="AN3" i="15" s="1"/>
  <c r="AM13" i="15"/>
  <c r="BV5" i="36"/>
  <c r="BV6" i="40" s="1"/>
  <c r="BV7" i="37"/>
  <c r="AU22" i="15"/>
  <c r="BJ22" i="39"/>
  <c r="BQ46" i="39"/>
  <c r="BQ54" i="39"/>
  <c r="BH7" i="39"/>
  <c r="BH8" i="39" s="1"/>
  <c r="BH44" i="39" s="1"/>
  <c r="BI18" i="40"/>
  <c r="BB64" i="37"/>
  <c r="BB61" i="37" s="1"/>
  <c r="BB60" i="37" s="1"/>
  <c r="BB58" i="37"/>
  <c r="AY20" i="37"/>
  <c r="AY77" i="40" s="1"/>
  <c r="BO1" i="37"/>
  <c r="AI110" i="54"/>
  <c r="BO35" i="12"/>
  <c r="BM70" i="8"/>
  <c r="BM71" i="8"/>
  <c r="BM68" i="8"/>
  <c r="BO10" i="8"/>
  <c r="BO24" i="8"/>
  <c r="BO50" i="8"/>
  <c r="BO11" i="8"/>
  <c r="BO53" i="8"/>
  <c r="BO8" i="8"/>
  <c r="BO52" i="8"/>
  <c r="BO32" i="12" l="1"/>
  <c r="BP22" i="12"/>
  <c r="BP62" i="12"/>
  <c r="BP47" i="12"/>
  <c r="BP59" i="12"/>
  <c r="BP49" i="12"/>
  <c r="BP35" i="12"/>
  <c r="BP33" i="12"/>
  <c r="BP50" i="12"/>
  <c r="BP36" i="12"/>
  <c r="BP61" i="12"/>
  <c r="BP19" i="12"/>
  <c r="BG21" i="36" l="1"/>
  <c r="BH22" i="36" s="1"/>
  <c r="BG26" i="36"/>
  <c r="BG23" i="40"/>
  <c r="BG22" i="40" s="1"/>
  <c r="BG16" i="39"/>
  <c r="BG35" i="39" s="1"/>
  <c r="BP6" i="36"/>
  <c r="BQ1" i="36"/>
  <c r="BO44" i="36"/>
  <c r="BO42" i="36" s="1"/>
  <c r="BO18" i="36"/>
  <c r="BH70" i="12"/>
  <c r="BH71" i="12" s="1"/>
  <c r="BH23" i="40" s="1"/>
  <c r="BH22" i="40" s="1"/>
  <c r="AI48" i="54"/>
  <c r="BH27" i="40"/>
  <c r="BP32" i="12"/>
  <c r="BO62" i="8"/>
  <c r="BO27" i="8"/>
  <c r="BO7" i="8"/>
  <c r="BO63" i="8"/>
  <c r="BO30" i="8"/>
  <c r="BO49" i="8"/>
  <c r="BO60" i="8"/>
  <c r="BO29" i="8"/>
  <c r="BM74" i="8"/>
  <c r="BM77" i="8"/>
  <c r="BM83" i="8" s="1"/>
  <c r="BM76" i="8"/>
  <c r="BM82" i="8" s="1"/>
  <c r="BN41" i="12"/>
  <c r="BN27" i="12"/>
  <c r="BN42" i="12"/>
  <c r="BN39" i="12"/>
  <c r="BN28" i="12"/>
  <c r="BN25" i="12"/>
  <c r="BN13" i="8"/>
  <c r="BM23" i="8"/>
  <c r="BM37" i="8" s="1"/>
  <c r="BM14" i="8"/>
  <c r="BK68" i="12"/>
  <c r="BK56" i="12"/>
  <c r="BI30" i="40"/>
  <c r="BI31" i="40" s="1"/>
  <c r="BH31" i="40"/>
  <c r="BN26" i="8"/>
  <c r="BM12" i="37"/>
  <c r="BN59" i="8"/>
  <c r="BQ1" i="12"/>
  <c r="BJ16" i="40"/>
  <c r="AJ46" i="54"/>
  <c r="AJ51" i="54" s="1"/>
  <c r="BO1" i="39"/>
  <c r="BO13" i="12"/>
  <c r="BO14" i="12" s="1"/>
  <c r="BO1" i="40"/>
  <c r="BO17" i="8"/>
  <c r="BO7" i="36" s="1"/>
  <c r="BO6" i="37" s="1"/>
  <c r="BO16" i="8"/>
  <c r="BO15" i="8" s="1"/>
  <c r="BP1" i="8"/>
  <c r="BJ67" i="12"/>
  <c r="BJ55" i="12"/>
  <c r="BJ65" i="12"/>
  <c r="BJ5" i="12"/>
  <c r="BJ58" i="12" s="1"/>
  <c r="BJ53" i="12"/>
  <c r="BJ46" i="12"/>
  <c r="BM38" i="12"/>
  <c r="BM74" i="40" s="1"/>
  <c r="BL9" i="12"/>
  <c r="BL44" i="8"/>
  <c r="BG72" i="39"/>
  <c r="BG75" i="40" s="1"/>
  <c r="BI64" i="12"/>
  <c r="BM8" i="40"/>
  <c r="BI42" i="40"/>
  <c r="BI24" i="40"/>
  <c r="BI28" i="40"/>
  <c r="BI5" i="39"/>
  <c r="BI6" i="39" s="1"/>
  <c r="BK79" i="8"/>
  <c r="BK67" i="8"/>
  <c r="BN65" i="8"/>
  <c r="BK6" i="12"/>
  <c r="BK33" i="8"/>
  <c r="BK40" i="8" s="1"/>
  <c r="BK41" i="8"/>
  <c r="BN5" i="40"/>
  <c r="BN9" i="39" s="1"/>
  <c r="BN7" i="40"/>
  <c r="BN19" i="40" s="1"/>
  <c r="BI52" i="12"/>
  <c r="BK8" i="12"/>
  <c r="BK43" i="8"/>
  <c r="BH17" i="39"/>
  <c r="BH16" i="36" s="1"/>
  <c r="BH23" i="39"/>
  <c r="BH21" i="39"/>
  <c r="BL22" i="8"/>
  <c r="BL36" i="8" s="1"/>
  <c r="BL20" i="8"/>
  <c r="BL34" i="8" s="1"/>
  <c r="BL76" i="40"/>
  <c r="BL47" i="40"/>
  <c r="BL48" i="40"/>
  <c r="BL75" i="40"/>
  <c r="BL78" i="40"/>
  <c r="BL46" i="40"/>
  <c r="BL59" i="40"/>
  <c r="BL10" i="39"/>
  <c r="BL30" i="40"/>
  <c r="BL37" i="40"/>
  <c r="BM11" i="40"/>
  <c r="BM24" i="12"/>
  <c r="BM21" i="37" s="1"/>
  <c r="AI53" i="54"/>
  <c r="BL80" i="8"/>
  <c r="BL73" i="8"/>
  <c r="BP56" i="39"/>
  <c r="BO73" i="39"/>
  <c r="BO74" i="39" s="1"/>
  <c r="BW5" i="36"/>
  <c r="BW6" i="40" s="1"/>
  <c r="BW7" i="37"/>
  <c r="BO9" i="40"/>
  <c r="AN13" i="15"/>
  <c r="AO1" i="15"/>
  <c r="AO3" i="15" s="1"/>
  <c r="BK22" i="39"/>
  <c r="BR54" i="39"/>
  <c r="BR46" i="39"/>
  <c r="BI7" i="39"/>
  <c r="BI8" i="39" s="1"/>
  <c r="BI44" i="39" s="1"/>
  <c r="BJ18" i="40"/>
  <c r="BC64" i="37"/>
  <c r="BC61" i="37" s="1"/>
  <c r="BC60" i="37" s="1"/>
  <c r="BC58" i="37"/>
  <c r="AY18" i="37"/>
  <c r="AZ25" i="37" s="1"/>
  <c r="AZ22" i="37" s="1"/>
  <c r="AJ110" i="54"/>
  <c r="BP1" i="37"/>
  <c r="BP21" i="12"/>
  <c r="BQ59" i="12"/>
  <c r="BQ19" i="12"/>
  <c r="BN8" i="40" l="1"/>
  <c r="BP18" i="12"/>
  <c r="BQ35" i="12"/>
  <c r="BQ47" i="12"/>
  <c r="BQ50" i="12"/>
  <c r="BQ22" i="12"/>
  <c r="BQ21" i="12"/>
  <c r="BQ62" i="12"/>
  <c r="BQ49" i="12"/>
  <c r="BQ36" i="12"/>
  <c r="BQ61" i="12"/>
  <c r="BQ33" i="12"/>
  <c r="BN70" i="8"/>
  <c r="BN71" i="8"/>
  <c r="BN68" i="8"/>
  <c r="BP52" i="8"/>
  <c r="BP50" i="8"/>
  <c r="BP24" i="8"/>
  <c r="BP53" i="8"/>
  <c r="BP8" i="8"/>
  <c r="BP11" i="8"/>
  <c r="BP10" i="8"/>
  <c r="AC124" i="54" l="1"/>
  <c r="BQ6" i="36"/>
  <c r="BR1" i="36"/>
  <c r="BP44" i="36"/>
  <c r="BP42" i="36" s="1"/>
  <c r="BP18" i="36"/>
  <c r="BI27" i="40"/>
  <c r="BH16" i="39"/>
  <c r="BH35" i="39" s="1"/>
  <c r="BP29" i="8"/>
  <c r="BP30" i="8"/>
  <c r="BP7" i="8"/>
  <c r="BP27" i="8"/>
  <c r="BP63" i="8"/>
  <c r="BP60" i="8"/>
  <c r="BP49" i="8"/>
  <c r="BP62" i="8"/>
  <c r="BN74" i="8"/>
  <c r="BN77" i="8"/>
  <c r="BN83" i="8" s="1"/>
  <c r="BN76" i="8"/>
  <c r="BN82" i="8" s="1"/>
  <c r="BQ32" i="12"/>
  <c r="BQ18" i="12"/>
  <c r="BP15" i="8"/>
  <c r="BO39" i="12"/>
  <c r="BO28" i="12"/>
  <c r="BO42" i="12"/>
  <c r="BO41" i="12"/>
  <c r="BO25" i="12"/>
  <c r="BO27" i="12"/>
  <c r="BL6" i="12"/>
  <c r="BL33" i="8"/>
  <c r="BL40" i="8" s="1"/>
  <c r="BL41" i="8"/>
  <c r="BL79" i="8"/>
  <c r="BL67" i="8"/>
  <c r="BK16" i="40"/>
  <c r="BO59" i="8"/>
  <c r="BL56" i="12"/>
  <c r="BL68" i="12"/>
  <c r="BO13" i="8"/>
  <c r="BN23" i="8"/>
  <c r="BN37" i="8" s="1"/>
  <c r="BN14" i="8"/>
  <c r="BL60" i="40"/>
  <c r="BL72" i="40"/>
  <c r="BL43" i="8"/>
  <c r="BL8" i="12"/>
  <c r="BK65" i="12"/>
  <c r="BK53" i="12"/>
  <c r="BK5" i="12"/>
  <c r="BK58" i="12" s="1"/>
  <c r="BK46" i="12"/>
  <c r="BP17" i="8"/>
  <c r="BP7" i="36" s="1"/>
  <c r="BP6" i="37" s="1"/>
  <c r="AK46" i="54"/>
  <c r="AK51" i="54" s="1"/>
  <c r="BP1" i="39"/>
  <c r="BP13" i="12"/>
  <c r="BP14" i="12" s="1"/>
  <c r="BP1" i="40"/>
  <c r="BP16" i="8"/>
  <c r="BQ1" i="8"/>
  <c r="BJ24" i="40"/>
  <c r="BJ5" i="39"/>
  <c r="BJ6" i="39" s="1"/>
  <c r="BJ21" i="39" s="1"/>
  <c r="BJ28" i="40"/>
  <c r="BJ27" i="40" s="1"/>
  <c r="BJ42" i="40"/>
  <c r="BJ31" i="40"/>
  <c r="AJ53" i="54"/>
  <c r="BO65" i="8"/>
  <c r="BI70" i="12"/>
  <c r="BI71" i="12" s="1"/>
  <c r="BJ52" i="12"/>
  <c r="BN11" i="40"/>
  <c r="BN24" i="12"/>
  <c r="BN21" i="37" s="1"/>
  <c r="BR1" i="12"/>
  <c r="BH21" i="36"/>
  <c r="BI22" i="36" s="1"/>
  <c r="BI19" i="36"/>
  <c r="BI10" i="36" s="1"/>
  <c r="BI46" i="40" s="1"/>
  <c r="BH26" i="36"/>
  <c r="BO7" i="40"/>
  <c r="BO19" i="40" s="1"/>
  <c r="BO5" i="40"/>
  <c r="BO9" i="39" s="1"/>
  <c r="AJ48" i="54"/>
  <c r="BO26" i="8"/>
  <c r="BN12" i="37"/>
  <c r="BH71" i="39"/>
  <c r="BH72" i="39" s="1"/>
  <c r="BH75" i="40" s="1"/>
  <c r="BM76" i="40"/>
  <c r="BM30" i="40"/>
  <c r="BM75" i="40"/>
  <c r="BM47" i="40"/>
  <c r="BM78" i="40"/>
  <c r="BM37" i="40"/>
  <c r="BM48" i="40"/>
  <c r="BM59" i="40"/>
  <c r="BM46" i="40"/>
  <c r="BM10" i="39"/>
  <c r="BL45" i="40"/>
  <c r="BI17" i="39"/>
  <c r="BI16" i="36" s="1"/>
  <c r="BI23" i="39"/>
  <c r="BI21" i="39"/>
  <c r="BJ64" i="12"/>
  <c r="BM20" i="8"/>
  <c r="BM34" i="8" s="1"/>
  <c r="BM22" i="8"/>
  <c r="BM36" i="8" s="1"/>
  <c r="BN38" i="12"/>
  <c r="BN74" i="40" s="1"/>
  <c r="BK67" i="12"/>
  <c r="BK55" i="12"/>
  <c r="BM9" i="12"/>
  <c r="BM44" i="8"/>
  <c r="BM80" i="8"/>
  <c r="BM73" i="8"/>
  <c r="BQ56" i="39"/>
  <c r="BP73" i="39"/>
  <c r="BP74" i="39" s="1"/>
  <c r="BP9" i="40"/>
  <c r="AP1" i="15"/>
  <c r="AP3" i="15" s="1"/>
  <c r="AO13" i="15"/>
  <c r="BL22" i="39"/>
  <c r="BS46" i="39"/>
  <c r="BS54" i="39"/>
  <c r="BJ7" i="39"/>
  <c r="BJ8" i="39" s="1"/>
  <c r="BJ44" i="39" s="1"/>
  <c r="BK18" i="40"/>
  <c r="BD64" i="37"/>
  <c r="BD61" i="37" s="1"/>
  <c r="BD60" i="37" s="1"/>
  <c r="BD58" i="37"/>
  <c r="AZ20" i="37"/>
  <c r="AZ77" i="40" s="1"/>
  <c r="AK110" i="54"/>
  <c r="BQ1" i="37"/>
  <c r="BR61" i="12"/>
  <c r="BR19" i="12"/>
  <c r="BR21" i="12"/>
  <c r="BR33" i="12"/>
  <c r="BR50" i="12"/>
  <c r="BR47" i="12"/>
  <c r="BR22" i="12"/>
  <c r="BR36" i="12"/>
  <c r="BR49" i="12"/>
  <c r="BR62" i="12"/>
  <c r="BR35" i="12"/>
  <c r="BR59" i="12"/>
  <c r="BO70" i="8"/>
  <c r="BO71" i="8"/>
  <c r="BO68" i="8"/>
  <c r="BQ10" i="8"/>
  <c r="BQ8" i="8"/>
  <c r="BQ53" i="8"/>
  <c r="BQ52" i="8"/>
  <c r="BQ24" i="8"/>
  <c r="BQ11" i="8"/>
  <c r="BQ50" i="8"/>
  <c r="BR6" i="36" l="1"/>
  <c r="BS1" i="36"/>
  <c r="BQ44" i="36"/>
  <c r="BQ42" i="36" s="1"/>
  <c r="BQ18" i="36"/>
  <c r="BO11" i="40"/>
  <c r="BO30" i="40" s="1"/>
  <c r="BI71" i="39"/>
  <c r="BI72" i="39" s="1"/>
  <c r="BI75" i="40" s="1"/>
  <c r="BM45" i="40"/>
  <c r="BQ60" i="8"/>
  <c r="BQ49" i="8"/>
  <c r="BQ30" i="8"/>
  <c r="BQ62" i="8"/>
  <c r="BQ63" i="8"/>
  <c r="BQ27" i="8"/>
  <c r="BQ7" i="8"/>
  <c r="BQ29" i="8"/>
  <c r="BO74" i="8"/>
  <c r="BO77" i="8"/>
  <c r="BO83" i="8" s="1"/>
  <c r="BO76" i="8"/>
  <c r="BO82" i="8" s="1"/>
  <c r="BR32" i="12"/>
  <c r="BR18" i="12"/>
  <c r="BP27" i="12"/>
  <c r="BP25" i="12"/>
  <c r="BP42" i="12"/>
  <c r="BP39" i="12"/>
  <c r="BP28" i="12"/>
  <c r="BP41" i="12"/>
  <c r="BK24" i="40"/>
  <c r="BK5" i="39"/>
  <c r="BK6" i="39" s="1"/>
  <c r="BK42" i="40"/>
  <c r="BK28" i="40"/>
  <c r="BK27" i="40" s="1"/>
  <c r="BK31" i="40"/>
  <c r="AK48" i="54"/>
  <c r="BO12" i="37"/>
  <c r="BP26" i="8"/>
  <c r="BM33" i="8"/>
  <c r="BM40" i="8" s="1"/>
  <c r="BM6" i="12"/>
  <c r="BM41" i="8"/>
  <c r="BN22" i="8"/>
  <c r="BN36" i="8" s="1"/>
  <c r="BN20" i="8"/>
  <c r="BN34" i="8" s="1"/>
  <c r="BN73" i="8"/>
  <c r="BN80" i="8"/>
  <c r="AD124" i="54"/>
  <c r="BI23" i="40"/>
  <c r="BI22" i="40" s="1"/>
  <c r="AL46" i="54"/>
  <c r="AL51" i="54" s="1"/>
  <c r="BQ1" i="39"/>
  <c r="BQ13" i="12"/>
  <c r="BQ14" i="12" s="1"/>
  <c r="BQ17" i="8"/>
  <c r="BQ7" i="36" s="1"/>
  <c r="BQ6" i="37" s="1"/>
  <c r="BQ16" i="8"/>
  <c r="BQ1" i="40"/>
  <c r="BR1" i="8"/>
  <c r="BO38" i="12"/>
  <c r="BO74" i="40" s="1"/>
  <c r="BP65" i="8"/>
  <c r="BK52" i="12"/>
  <c r="BP13" i="8"/>
  <c r="BO23" i="8"/>
  <c r="BO37" i="8" s="1"/>
  <c r="BO14" i="8"/>
  <c r="BL16" i="40"/>
  <c r="AK53" i="54"/>
  <c r="BN44" i="8"/>
  <c r="BN9" i="12"/>
  <c r="BM68" i="12"/>
  <c r="BM56" i="12"/>
  <c r="BJ70" i="12"/>
  <c r="BJ71" i="12" s="1"/>
  <c r="BM60" i="40"/>
  <c r="BM72" i="40"/>
  <c r="BI16" i="39"/>
  <c r="BI35" i="39" s="1"/>
  <c r="BO8" i="40"/>
  <c r="BP5" i="40"/>
  <c r="BP9" i="39" s="1"/>
  <c r="BP7" i="40"/>
  <c r="BP19" i="40" s="1"/>
  <c r="BK64" i="12"/>
  <c r="BL65" i="12"/>
  <c r="BL53" i="12"/>
  <c r="BL46" i="12"/>
  <c r="BL5" i="12"/>
  <c r="BL58" i="12" s="1"/>
  <c r="BP59" i="8"/>
  <c r="BS1" i="12"/>
  <c r="BL67" i="12"/>
  <c r="BL55" i="12"/>
  <c r="BQ15" i="8"/>
  <c r="BJ19" i="36"/>
  <c r="BJ10" i="36" s="1"/>
  <c r="BJ46" i="40" s="1"/>
  <c r="BI21" i="36"/>
  <c r="BJ22" i="36" s="1"/>
  <c r="BI26" i="36"/>
  <c r="BO24" i="12"/>
  <c r="BO21" i="37" s="1"/>
  <c r="BM79" i="8"/>
  <c r="BM67" i="8"/>
  <c r="BM8" i="12"/>
  <c r="BM43" i="8"/>
  <c r="BN76" i="40"/>
  <c r="BN30" i="40"/>
  <c r="BN78" i="40"/>
  <c r="BN10" i="39"/>
  <c r="BN37" i="40"/>
  <c r="BN48" i="40"/>
  <c r="BN46" i="40"/>
  <c r="BN47" i="40"/>
  <c r="BN75" i="40"/>
  <c r="BN59" i="40"/>
  <c r="BJ17" i="39"/>
  <c r="BJ16" i="36" s="1"/>
  <c r="BJ23" i="39"/>
  <c r="BR56" i="39"/>
  <c r="BQ73" i="39"/>
  <c r="BQ74" i="39" s="1"/>
  <c r="BQ9" i="40"/>
  <c r="AQ1" i="15"/>
  <c r="AQ3" i="15" s="1"/>
  <c r="AP13" i="15"/>
  <c r="BM22" i="39"/>
  <c r="BT54" i="39"/>
  <c r="BT46" i="39"/>
  <c r="BK7" i="39"/>
  <c r="BK8" i="39" s="1"/>
  <c r="BK44" i="39" s="1"/>
  <c r="BL18" i="40"/>
  <c r="BE64" i="37"/>
  <c r="BE61" i="37" s="1"/>
  <c r="BE60" i="37" s="1"/>
  <c r="AZ18" i="37"/>
  <c r="BA25" i="37" s="1"/>
  <c r="BA22" i="37" s="1"/>
  <c r="AL110" i="54"/>
  <c r="BR1" i="37"/>
  <c r="BR24" i="8"/>
  <c r="BR52" i="8"/>
  <c r="BR50" i="8"/>
  <c r="BR11" i="8"/>
  <c r="BR10" i="8"/>
  <c r="BR53" i="8"/>
  <c r="BR8" i="8"/>
  <c r="BS21" i="12"/>
  <c r="BS47" i="12"/>
  <c r="BS61" i="12"/>
  <c r="BS62" i="12"/>
  <c r="BS49" i="12"/>
  <c r="BS22" i="12"/>
  <c r="BS36" i="12"/>
  <c r="BS19" i="12"/>
  <c r="BS50" i="12"/>
  <c r="BS35" i="12"/>
  <c r="BS33" i="12"/>
  <c r="BS59" i="12"/>
  <c r="BP71" i="8"/>
  <c r="BP70" i="8"/>
  <c r="BP68" i="8"/>
  <c r="BO76" i="40" l="1"/>
  <c r="BO75" i="40"/>
  <c r="BS6" i="36"/>
  <c r="BT1" i="36"/>
  <c r="BR44" i="36"/>
  <c r="BR42" i="36" s="1"/>
  <c r="BR18" i="36"/>
  <c r="BO47" i="40"/>
  <c r="BJ71" i="39"/>
  <c r="BJ72" i="39" s="1"/>
  <c r="BJ75" i="40" s="1"/>
  <c r="BO78" i="40"/>
  <c r="BO10" i="39"/>
  <c r="BO37" i="40"/>
  <c r="BO59" i="40"/>
  <c r="BO72" i="40" s="1"/>
  <c r="BO48" i="40"/>
  <c r="BO46" i="40"/>
  <c r="AL48" i="54"/>
  <c r="BP74" i="8"/>
  <c r="BP76" i="8"/>
  <c r="BP82" i="8" s="1"/>
  <c r="BP77" i="8"/>
  <c r="BP83" i="8" s="1"/>
  <c r="BS32" i="12"/>
  <c r="BS18" i="12"/>
  <c r="BR27" i="8"/>
  <c r="BR7" i="8"/>
  <c r="BR63" i="8"/>
  <c r="BR29" i="8"/>
  <c r="BR30" i="8"/>
  <c r="BR49" i="8"/>
  <c r="BR60" i="8"/>
  <c r="BR62" i="8"/>
  <c r="BQ39" i="12"/>
  <c r="BQ42" i="12"/>
  <c r="BQ27" i="12"/>
  <c r="BQ28" i="12"/>
  <c r="BQ41" i="12"/>
  <c r="BQ25" i="12"/>
  <c r="BN45" i="40"/>
  <c r="BP8" i="40"/>
  <c r="BN68" i="12"/>
  <c r="BN56" i="12"/>
  <c r="BQ65" i="8"/>
  <c r="BP24" i="12"/>
  <c r="BP21" i="37" s="1"/>
  <c r="BQ26" i="8"/>
  <c r="BP12" i="37"/>
  <c r="BM67" i="12"/>
  <c r="BM55" i="12"/>
  <c r="BM65" i="12"/>
  <c r="BM5" i="12"/>
  <c r="BM58" i="12" s="1"/>
  <c r="BM46" i="12"/>
  <c r="BM53" i="12"/>
  <c r="BK23" i="39"/>
  <c r="BK17" i="39"/>
  <c r="BK16" i="36" s="1"/>
  <c r="BK21" i="39"/>
  <c r="BT1" i="12"/>
  <c r="BL52" i="12"/>
  <c r="BR1" i="40"/>
  <c r="BR1" i="39"/>
  <c r="BR13" i="12"/>
  <c r="BR14" i="12" s="1"/>
  <c r="BR17" i="8"/>
  <c r="BR7" i="36" s="1"/>
  <c r="BR6" i="37" s="1"/>
  <c r="AM46" i="54"/>
  <c r="AM51" i="54" s="1"/>
  <c r="BS1" i="8"/>
  <c r="BR16" i="8"/>
  <c r="BM16" i="40"/>
  <c r="BJ16" i="39"/>
  <c r="BJ35" i="39" s="1"/>
  <c r="BL64" i="12"/>
  <c r="BL42" i="40"/>
  <c r="BL24" i="40"/>
  <c r="BL77" i="40"/>
  <c r="BL28" i="40"/>
  <c r="BL27" i="40" s="1"/>
  <c r="BL20" i="40"/>
  <c r="AG117" i="54" s="1"/>
  <c r="BL5" i="39"/>
  <c r="BL6" i="39" s="1"/>
  <c r="BL31" i="40"/>
  <c r="BQ7" i="40"/>
  <c r="BQ19" i="40" s="1"/>
  <c r="BQ5" i="40"/>
  <c r="BQ9" i="39" s="1"/>
  <c r="BP11" i="40"/>
  <c r="BR15" i="8"/>
  <c r="BK70" i="12"/>
  <c r="BK71" i="12" s="1"/>
  <c r="AE124" i="54"/>
  <c r="BJ23" i="40"/>
  <c r="BJ22" i="40" s="1"/>
  <c r="BO20" i="8"/>
  <c r="BO34" i="8" s="1"/>
  <c r="BO22" i="8"/>
  <c r="BO36" i="8" s="1"/>
  <c r="BN67" i="8"/>
  <c r="BN79" i="8"/>
  <c r="BJ26" i="36"/>
  <c r="BJ21" i="36"/>
  <c r="BK22" i="36" s="1"/>
  <c r="BK19" i="36"/>
  <c r="BK10" i="36" s="1"/>
  <c r="BK46" i="40" s="1"/>
  <c r="BO9" i="12"/>
  <c r="BO44" i="8"/>
  <c r="BN6" i="12"/>
  <c r="BN33" i="8"/>
  <c r="BN40" i="8" s="1"/>
  <c r="BN41" i="8"/>
  <c r="AL53" i="54"/>
  <c r="BN60" i="40"/>
  <c r="BN72" i="40"/>
  <c r="BQ13" i="8"/>
  <c r="BP23" i="8"/>
  <c r="BP37" i="8" s="1"/>
  <c r="BP14" i="8"/>
  <c r="BN8" i="12"/>
  <c r="BN43" i="8"/>
  <c r="BP38" i="12"/>
  <c r="BP74" i="40" s="1"/>
  <c r="BO80" i="8"/>
  <c r="BO73" i="8"/>
  <c r="BQ59" i="8"/>
  <c r="BS56" i="39"/>
  <c r="BR73" i="39"/>
  <c r="BR74" i="39" s="1"/>
  <c r="AR1" i="15"/>
  <c r="AR3" i="15" s="1"/>
  <c r="AQ13" i="15"/>
  <c r="BR9" i="40"/>
  <c r="BN22" i="39"/>
  <c r="BU46" i="39"/>
  <c r="BU54" i="39"/>
  <c r="BM18" i="40"/>
  <c r="BL7" i="39"/>
  <c r="BL8" i="39" s="1"/>
  <c r="BL44" i="39" s="1"/>
  <c r="BE58" i="37"/>
  <c r="BA20" i="37"/>
  <c r="BA77" i="40" s="1"/>
  <c r="AM110" i="54"/>
  <c r="BS1" i="37"/>
  <c r="BT62" i="12"/>
  <c r="BT36" i="12"/>
  <c r="BT22" i="12"/>
  <c r="BT47" i="12"/>
  <c r="BT61" i="12"/>
  <c r="BT33" i="12"/>
  <c r="BT49" i="12"/>
  <c r="BT21" i="12"/>
  <c r="BT50" i="12"/>
  <c r="BT35" i="12"/>
  <c r="BT59" i="12"/>
  <c r="BT19" i="12"/>
  <c r="BS52" i="8"/>
  <c r="BS11" i="8"/>
  <c r="BS10" i="8"/>
  <c r="BS50" i="8"/>
  <c r="BS24" i="8"/>
  <c r="BS8" i="8"/>
  <c r="BS53" i="8"/>
  <c r="BQ68" i="8"/>
  <c r="BQ70" i="8"/>
  <c r="BQ71" i="8"/>
  <c r="BQ8" i="40" l="1"/>
  <c r="BO60" i="40"/>
  <c r="BU1" i="36"/>
  <c r="BT6" i="36"/>
  <c r="BS44" i="36"/>
  <c r="BS42" i="36" s="1"/>
  <c r="BS18" i="36"/>
  <c r="BO45" i="40"/>
  <c r="AM48" i="54"/>
  <c r="BK71" i="39"/>
  <c r="BK72" i="39" s="1"/>
  <c r="BK75" i="40" s="1"/>
  <c r="BQ11" i="40"/>
  <c r="BQ37" i="40" s="1"/>
  <c r="BN16" i="40"/>
  <c r="BN31" i="40" s="1"/>
  <c r="BQ24" i="12"/>
  <c r="BQ21" i="37" s="1"/>
  <c r="BQ77" i="8"/>
  <c r="BQ83" i="8" s="1"/>
  <c r="BQ76" i="8"/>
  <c r="BQ82" i="8" s="1"/>
  <c r="BQ74" i="8"/>
  <c r="BS63" i="8"/>
  <c r="BS7" i="8"/>
  <c r="BS27" i="8"/>
  <c r="BS60" i="8"/>
  <c r="BS49" i="8"/>
  <c r="BS29" i="8"/>
  <c r="BS30" i="8"/>
  <c r="BS62" i="8"/>
  <c r="BT18" i="12"/>
  <c r="BT32" i="12"/>
  <c r="BR27" i="12"/>
  <c r="BR25" i="12"/>
  <c r="BR41" i="12"/>
  <c r="BR42" i="12"/>
  <c r="BR39" i="12"/>
  <c r="BR28" i="12"/>
  <c r="BP44" i="8"/>
  <c r="BP9" i="12"/>
  <c r="BN5" i="12"/>
  <c r="BN58" i="12" s="1"/>
  <c r="BN46" i="12"/>
  <c r="BN53" i="12"/>
  <c r="BN65" i="12"/>
  <c r="BR5" i="40"/>
  <c r="BR9" i="39" s="1"/>
  <c r="BR7" i="40"/>
  <c r="BR8" i="40" s="1"/>
  <c r="BM52" i="12"/>
  <c r="AM53" i="54"/>
  <c r="BP80" i="8"/>
  <c r="BP73" i="8"/>
  <c r="BR13" i="8"/>
  <c r="BQ23" i="8"/>
  <c r="BQ37" i="8" s="1"/>
  <c r="BQ14" i="8"/>
  <c r="BM77" i="40"/>
  <c r="BM24" i="40"/>
  <c r="BM42" i="40"/>
  <c r="BM28" i="40"/>
  <c r="BM27" i="40" s="1"/>
  <c r="BM20" i="40"/>
  <c r="AH117" i="54" s="1"/>
  <c r="BM5" i="39"/>
  <c r="BM6" i="39" s="1"/>
  <c r="BM31" i="40"/>
  <c r="BR65" i="8"/>
  <c r="BO79" i="8"/>
  <c r="BO67" i="8"/>
  <c r="BO56" i="12"/>
  <c r="BO68" i="12"/>
  <c r="BP76" i="40"/>
  <c r="BP46" i="40"/>
  <c r="BP47" i="40"/>
  <c r="BP48" i="40"/>
  <c r="BP78" i="40"/>
  <c r="BP30" i="40"/>
  <c r="BP37" i="40"/>
  <c r="BP59" i="40"/>
  <c r="BP75" i="40"/>
  <c r="BP10" i="39"/>
  <c r="BO41" i="8"/>
  <c r="BO6" i="12"/>
  <c r="BO33" i="8"/>
  <c r="BO40" i="8" s="1"/>
  <c r="BN67" i="12"/>
  <c r="BN55" i="12"/>
  <c r="BK26" i="36"/>
  <c r="BL19" i="36"/>
  <c r="BL10" i="36" s="1"/>
  <c r="BK21" i="36"/>
  <c r="BL22" i="36" s="1"/>
  <c r="BO43" i="8"/>
  <c r="BO8" i="12"/>
  <c r="BS17" i="8"/>
  <c r="BS7" i="36" s="1"/>
  <c r="BS6" i="37" s="1"/>
  <c r="AN46" i="54"/>
  <c r="AN51" i="54" s="1"/>
  <c r="BS1" i="40"/>
  <c r="BT1" i="8"/>
  <c r="BS16" i="8"/>
  <c r="BS15" i="8" s="1"/>
  <c r="BS1" i="39"/>
  <c r="BS13" i="12"/>
  <c r="BS14" i="12" s="1"/>
  <c r="BM64" i="12"/>
  <c r="BQ38" i="12"/>
  <c r="BQ74" i="40" s="1"/>
  <c r="BU1" i="12"/>
  <c r="BR26" i="8"/>
  <c r="BQ12" i="37"/>
  <c r="BL70" i="12"/>
  <c r="BL71" i="12" s="1"/>
  <c r="BK16" i="39"/>
  <c r="BK35" i="39" s="1"/>
  <c r="BP20" i="8"/>
  <c r="BP34" i="8" s="1"/>
  <c r="BP22" i="8"/>
  <c r="BP36" i="8" s="1"/>
  <c r="AF124" i="54"/>
  <c r="BK23" i="40"/>
  <c r="BK22" i="40" s="1"/>
  <c r="BL17" i="39"/>
  <c r="BL16" i="36" s="1"/>
  <c r="BL23" i="39"/>
  <c r="BL21" i="39"/>
  <c r="BR59" i="8"/>
  <c r="BT56" i="39"/>
  <c r="BS73" i="39"/>
  <c r="BS74" i="39" s="1"/>
  <c r="AS1" i="15"/>
  <c r="AS3" i="15" s="1"/>
  <c r="AR13" i="15"/>
  <c r="BS9" i="40"/>
  <c r="BO22" i="39"/>
  <c r="BV46" i="39"/>
  <c r="BV54" i="39"/>
  <c r="BN18" i="40"/>
  <c r="BM7" i="39"/>
  <c r="BM8" i="39" s="1"/>
  <c r="BM44" i="39" s="1"/>
  <c r="BF64" i="37"/>
  <c r="BF61" i="37" s="1"/>
  <c r="BF60" i="37" s="1"/>
  <c r="BA18" i="37"/>
  <c r="BB25" i="37" s="1"/>
  <c r="BB22" i="37" s="1"/>
  <c r="AN110" i="54"/>
  <c r="BT1" i="37"/>
  <c r="BU33" i="12"/>
  <c r="BU36" i="12"/>
  <c r="BU62" i="12"/>
  <c r="BU47" i="12"/>
  <c r="BU61" i="12"/>
  <c r="BU59" i="12"/>
  <c r="BU21" i="12"/>
  <c r="BU50" i="12"/>
  <c r="BU22" i="12"/>
  <c r="BU35" i="12"/>
  <c r="BU19" i="12"/>
  <c r="BU49" i="12"/>
  <c r="BT50" i="8"/>
  <c r="BT52" i="8"/>
  <c r="BT8" i="8"/>
  <c r="BT53" i="8"/>
  <c r="BT10" i="8"/>
  <c r="BT24" i="8"/>
  <c r="BT11" i="8"/>
  <c r="BR71" i="8"/>
  <c r="BR68" i="8"/>
  <c r="BR70" i="8"/>
  <c r="BO16" i="40" l="1"/>
  <c r="BO28" i="40" s="1"/>
  <c r="BO27" i="40" s="1"/>
  <c r="BT44" i="36"/>
  <c r="BT42" i="36" s="1"/>
  <c r="BT18" i="36"/>
  <c r="BV1" i="36"/>
  <c r="BU6" i="36"/>
  <c r="BN5" i="39"/>
  <c r="BN6" i="39" s="1"/>
  <c r="BN21" i="39" s="1"/>
  <c r="BN77" i="40"/>
  <c r="BN42" i="40"/>
  <c r="BN24" i="40"/>
  <c r="BN20" i="40"/>
  <c r="AI117" i="54" s="1"/>
  <c r="BN28" i="40"/>
  <c r="BN27" i="40" s="1"/>
  <c r="BQ10" i="39"/>
  <c r="BQ59" i="40"/>
  <c r="BQ60" i="40" s="1"/>
  <c r="BQ46" i="40"/>
  <c r="BQ76" i="40"/>
  <c r="BQ48" i="40"/>
  <c r="BQ30" i="40"/>
  <c r="BQ47" i="40"/>
  <c r="BQ75" i="40"/>
  <c r="BQ78" i="40"/>
  <c r="BL71" i="39"/>
  <c r="BL72" i="39" s="1"/>
  <c r="BM70" i="12"/>
  <c r="BM71" i="12" s="1"/>
  <c r="AH124" i="54" s="1"/>
  <c r="BN64" i="12"/>
  <c r="BR11" i="40"/>
  <c r="BR30" i="40" s="1"/>
  <c r="BL16" i="39"/>
  <c r="BL35" i="39" s="1"/>
  <c r="BR76" i="8"/>
  <c r="BR82" i="8" s="1"/>
  <c r="BR74" i="8"/>
  <c r="BR77" i="8"/>
  <c r="BR83" i="8" s="1"/>
  <c r="BT30" i="8"/>
  <c r="BT29" i="8"/>
  <c r="BT63" i="8"/>
  <c r="BT27" i="8"/>
  <c r="BT7" i="8"/>
  <c r="BT62" i="8"/>
  <c r="BT49" i="8"/>
  <c r="BT60" i="8"/>
  <c r="BU18" i="12"/>
  <c r="BU32" i="12"/>
  <c r="BS42" i="12"/>
  <c r="BS39" i="12"/>
  <c r="BS41" i="12"/>
  <c r="BS27" i="12"/>
  <c r="BS25" i="12"/>
  <c r="BS28" i="12"/>
  <c r="BR24" i="12"/>
  <c r="BR21" i="37" s="1"/>
  <c r="BS59" i="8"/>
  <c r="BN52" i="12"/>
  <c r="AN53" i="54"/>
  <c r="BO67" i="12"/>
  <c r="BO55" i="12"/>
  <c r="BO5" i="12"/>
  <c r="BO58" i="12" s="1"/>
  <c r="BO65" i="12"/>
  <c r="BO46" i="12"/>
  <c r="BO53" i="12"/>
  <c r="BS65" i="8"/>
  <c r="BQ22" i="8"/>
  <c r="BQ36" i="8" s="1"/>
  <c r="BQ20" i="8"/>
  <c r="BQ34" i="8" s="1"/>
  <c r="BP68" i="12"/>
  <c r="BP56" i="12"/>
  <c r="AN48" i="54"/>
  <c r="BR12" i="37"/>
  <c r="BS26" i="8"/>
  <c r="BP45" i="40"/>
  <c r="BQ44" i="8"/>
  <c r="BQ9" i="12"/>
  <c r="BR19" i="40"/>
  <c r="BL26" i="36"/>
  <c r="BM19" i="36"/>
  <c r="BM10" i="36" s="1"/>
  <c r="BL21" i="36"/>
  <c r="BM22" i="36" s="1"/>
  <c r="BM17" i="39"/>
  <c r="BM16" i="36" s="1"/>
  <c r="BM23" i="39"/>
  <c r="BM21" i="39"/>
  <c r="BS13" i="8"/>
  <c r="BR23" i="8"/>
  <c r="BR37" i="8" s="1"/>
  <c r="BR14" i="8"/>
  <c r="BQ80" i="8"/>
  <c r="BQ73" i="8"/>
  <c r="AG124" i="54"/>
  <c r="BL23" i="40"/>
  <c r="BL22" i="40" s="1"/>
  <c r="BP43" i="8"/>
  <c r="BP8" i="12"/>
  <c r="BT17" i="8"/>
  <c r="BT7" i="36" s="1"/>
  <c r="BT6" i="37" s="1"/>
  <c r="AO46" i="54"/>
  <c r="AO51" i="54" s="1"/>
  <c r="BT1" i="40"/>
  <c r="BT1" i="39"/>
  <c r="BT13" i="12"/>
  <c r="BT14" i="12" s="1"/>
  <c r="BU1" i="8"/>
  <c r="BT16" i="8"/>
  <c r="BT15" i="8" s="1"/>
  <c r="BP67" i="8"/>
  <c r="BP79" i="8"/>
  <c r="BR38" i="12"/>
  <c r="BR74" i="40" s="1"/>
  <c r="BP41" i="8"/>
  <c r="BP33" i="8"/>
  <c r="BP40" i="8" s="1"/>
  <c r="BP6" i="12"/>
  <c r="BV1" i="12"/>
  <c r="BS7" i="40"/>
  <c r="BS8" i="40" s="1"/>
  <c r="BS5" i="40"/>
  <c r="BS9" i="39" s="1"/>
  <c r="BP60" i="40"/>
  <c r="BP72" i="40"/>
  <c r="BU56" i="39"/>
  <c r="BT73" i="39"/>
  <c r="BT74" i="39" s="1"/>
  <c r="BT9" i="40"/>
  <c r="AT1" i="15"/>
  <c r="AT3" i="15" s="1"/>
  <c r="AS13" i="15"/>
  <c r="BP22" i="39"/>
  <c r="BW54" i="39"/>
  <c r="BW46" i="39"/>
  <c r="BN7" i="39"/>
  <c r="BN8" i="39" s="1"/>
  <c r="BN44" i="39" s="1"/>
  <c r="BO18" i="40"/>
  <c r="BF58" i="37"/>
  <c r="BB20" i="37"/>
  <c r="BB77" i="40" s="1"/>
  <c r="AO110" i="54"/>
  <c r="BU1" i="37"/>
  <c r="BV49" i="12"/>
  <c r="BV19" i="12"/>
  <c r="BV62" i="12"/>
  <c r="BV50" i="12"/>
  <c r="BV35" i="12"/>
  <c r="BV59" i="12"/>
  <c r="BV36" i="12"/>
  <c r="BV61" i="12"/>
  <c r="BV47" i="12"/>
  <c r="BV22" i="12"/>
  <c r="BV21" i="12"/>
  <c r="BV33" i="12"/>
  <c r="BU11" i="8"/>
  <c r="BU50" i="8"/>
  <c r="BU10" i="8"/>
  <c r="BU8" i="8"/>
  <c r="BU53" i="8"/>
  <c r="BU52" i="8"/>
  <c r="BU24" i="8"/>
  <c r="BS68" i="8"/>
  <c r="BS70" i="8"/>
  <c r="BS71" i="8"/>
  <c r="BS19" i="40" l="1"/>
  <c r="BO24" i="40"/>
  <c r="BO77" i="40"/>
  <c r="BO31" i="40"/>
  <c r="BO5" i="39"/>
  <c r="BO6" i="39" s="1"/>
  <c r="BO21" i="39" s="1"/>
  <c r="BO20" i="40"/>
  <c r="AJ117" i="54" s="1"/>
  <c r="BO42" i="40"/>
  <c r="BN23" i="39"/>
  <c r="BN71" i="39" s="1"/>
  <c r="BU44" i="36"/>
  <c r="BU42" i="36" s="1"/>
  <c r="BU18" i="36"/>
  <c r="BV6" i="36"/>
  <c r="BW1" i="36"/>
  <c r="BW6" i="36" s="1"/>
  <c r="BN17" i="39"/>
  <c r="BN16" i="36" s="1"/>
  <c r="BN26" i="36" s="1"/>
  <c r="BR10" i="39"/>
  <c r="BN70" i="12"/>
  <c r="BN71" i="12" s="1"/>
  <c r="AI124" i="54" s="1"/>
  <c r="BS11" i="40"/>
  <c r="BS46" i="40" s="1"/>
  <c r="BR78" i="40"/>
  <c r="BM23" i="40"/>
  <c r="BM22" i="40" s="1"/>
  <c r="BR47" i="40"/>
  <c r="BR59" i="40"/>
  <c r="BR60" i="40" s="1"/>
  <c r="BR48" i="40"/>
  <c r="BR75" i="40"/>
  <c r="BR76" i="40"/>
  <c r="BR37" i="40"/>
  <c r="BM71" i="39"/>
  <c r="BM72" i="39" s="1"/>
  <c r="BQ45" i="40"/>
  <c r="BQ72" i="40"/>
  <c r="BO64" i="12"/>
  <c r="BS38" i="12"/>
  <c r="BS74" i="40" s="1"/>
  <c r="BP16" i="40"/>
  <c r="BP24" i="40" s="1"/>
  <c r="BO52" i="12"/>
  <c r="BR46" i="40"/>
  <c r="BS77" i="8"/>
  <c r="BS83" i="8" s="1"/>
  <c r="BS76" i="8"/>
  <c r="BS82" i="8" s="1"/>
  <c r="BS74" i="8"/>
  <c r="BU62" i="8"/>
  <c r="BU63" i="8"/>
  <c r="BU27" i="8"/>
  <c r="BU7" i="8"/>
  <c r="BU29" i="8"/>
  <c r="BU49" i="8"/>
  <c r="BU60" i="8"/>
  <c r="BU30" i="8"/>
  <c r="BV32" i="12"/>
  <c r="BV18" i="12"/>
  <c r="BT39" i="12"/>
  <c r="BT28" i="12"/>
  <c r="BT42" i="12"/>
  <c r="BT25" i="12"/>
  <c r="BT41" i="12"/>
  <c r="BT27" i="12"/>
  <c r="BT13" i="8"/>
  <c r="BS23" i="8"/>
  <c r="BS37" i="8" s="1"/>
  <c r="BS14" i="8"/>
  <c r="BR44" i="8"/>
  <c r="BR9" i="12"/>
  <c r="BT65" i="8"/>
  <c r="AO48" i="54"/>
  <c r="BT26" i="8"/>
  <c r="BS12" i="37"/>
  <c r="BT5" i="40"/>
  <c r="BT9" i="39" s="1"/>
  <c r="BT7" i="40"/>
  <c r="BT8" i="40" s="1"/>
  <c r="BQ79" i="8"/>
  <c r="BQ67" i="8"/>
  <c r="BM16" i="39"/>
  <c r="BM35" i="39" s="1"/>
  <c r="BQ56" i="12"/>
  <c r="BQ68" i="12"/>
  <c r="BP65" i="12"/>
  <c r="BP53" i="12"/>
  <c r="BP5" i="12"/>
  <c r="BP58" i="12" s="1"/>
  <c r="BP46" i="12"/>
  <c r="AP46" i="54"/>
  <c r="AP51" i="54" s="1"/>
  <c r="BU1" i="40"/>
  <c r="BU17" i="8"/>
  <c r="BU7" i="36" s="1"/>
  <c r="BU6" i="37" s="1"/>
  <c r="BU1" i="39"/>
  <c r="BU13" i="12"/>
  <c r="BU14" i="12" s="1"/>
  <c r="BV1" i="8"/>
  <c r="BU16" i="8"/>
  <c r="BU15" i="8" s="1"/>
  <c r="BM26" i="36"/>
  <c r="BM21" i="36"/>
  <c r="BN22" i="36" s="1"/>
  <c r="BN19" i="36"/>
  <c r="BN10" i="36" s="1"/>
  <c r="BP67" i="12"/>
  <c r="BP55" i="12"/>
  <c r="BS24" i="12"/>
  <c r="BS21" i="37" s="1"/>
  <c r="BT59" i="8"/>
  <c r="BW1" i="12"/>
  <c r="BQ6" i="12"/>
  <c r="BQ33" i="8"/>
  <c r="BQ40" i="8" s="1"/>
  <c r="BQ41" i="8"/>
  <c r="AO53" i="54"/>
  <c r="BR73" i="8"/>
  <c r="BR80" i="8"/>
  <c r="BR22" i="8"/>
  <c r="BR36" i="8" s="1"/>
  <c r="BR20" i="8"/>
  <c r="BR34" i="8" s="1"/>
  <c r="BQ8" i="12"/>
  <c r="BQ43" i="8"/>
  <c r="BV56" i="39"/>
  <c r="BU73" i="39"/>
  <c r="BU74" i="39" s="1"/>
  <c r="BU9" i="40"/>
  <c r="AT13" i="15"/>
  <c r="AU1" i="15"/>
  <c r="AU3" i="15" s="1"/>
  <c r="BQ22" i="39"/>
  <c r="BP18" i="40"/>
  <c r="BO7" i="39"/>
  <c r="BO8" i="39" s="1"/>
  <c r="BO44" i="39" s="1"/>
  <c r="BG64" i="37"/>
  <c r="BG61" i="37" s="1"/>
  <c r="BG60" i="37" s="1"/>
  <c r="BG58" i="37"/>
  <c r="BB18" i="37"/>
  <c r="BC25" i="37" s="1"/>
  <c r="BC22" i="37" s="1"/>
  <c r="AP110" i="54"/>
  <c r="BV1" i="37"/>
  <c r="BW62" i="12"/>
  <c r="BW33" i="12"/>
  <c r="BW59" i="12"/>
  <c r="BW22" i="12"/>
  <c r="BW49" i="12"/>
  <c r="BW47" i="12"/>
  <c r="BW19" i="12"/>
  <c r="BW36" i="12"/>
  <c r="BW50" i="12"/>
  <c r="BW35" i="12"/>
  <c r="BW21" i="12"/>
  <c r="BW61" i="12"/>
  <c r="BT68" i="8"/>
  <c r="BT71" i="8"/>
  <c r="BT70" i="8"/>
  <c r="BV52" i="8"/>
  <c r="BV24" i="8"/>
  <c r="BV50" i="8"/>
  <c r="BV10" i="8"/>
  <c r="BV11" i="8"/>
  <c r="BV8" i="8"/>
  <c r="BV53" i="8"/>
  <c r="BO23" i="39" l="1"/>
  <c r="BO71" i="39" s="1"/>
  <c r="BO17" i="39"/>
  <c r="BO16" i="36" s="1"/>
  <c r="BO21" i="36" s="1"/>
  <c r="BP22" i="36" s="1"/>
  <c r="BS78" i="40"/>
  <c r="BN21" i="36"/>
  <c r="BO22" i="36" s="1"/>
  <c r="BO19" i="36"/>
  <c r="BO10" i="36" s="1"/>
  <c r="BN23" i="40"/>
  <c r="BN22" i="40" s="1"/>
  <c r="BW44" i="36"/>
  <c r="BW42" i="36" s="1"/>
  <c r="BW18" i="36"/>
  <c r="BV44" i="36"/>
  <c r="BV42" i="36" s="1"/>
  <c r="BV18" i="36"/>
  <c r="BN16" i="39"/>
  <c r="BN35" i="39" s="1"/>
  <c r="BP28" i="40"/>
  <c r="BP27" i="40" s="1"/>
  <c r="BR72" i="40"/>
  <c r="BS30" i="40"/>
  <c r="BS10" i="39"/>
  <c r="BS75" i="40"/>
  <c r="BS47" i="40"/>
  <c r="BS76" i="40"/>
  <c r="BS37" i="40"/>
  <c r="BN72" i="39"/>
  <c r="BS59" i="40"/>
  <c r="BS72" i="40" s="1"/>
  <c r="BT11" i="40"/>
  <c r="BT75" i="40" s="1"/>
  <c r="BS48" i="40"/>
  <c r="BP20" i="40"/>
  <c r="AK117" i="54" s="1"/>
  <c r="BP31" i="40"/>
  <c r="BP5" i="39"/>
  <c r="BP6" i="39" s="1"/>
  <c r="BP17" i="39" s="1"/>
  <c r="BP16" i="36" s="1"/>
  <c r="BP42" i="40"/>
  <c r="BR45" i="40"/>
  <c r="BO70" i="12"/>
  <c r="BO71" i="12" s="1"/>
  <c r="BO23" i="40" s="1"/>
  <c r="BO22" i="40" s="1"/>
  <c r="BP77" i="40"/>
  <c r="BT24" i="12"/>
  <c r="BT21" i="37" s="1"/>
  <c r="BV63" i="8"/>
  <c r="BV7" i="8"/>
  <c r="BV27" i="8"/>
  <c r="BV30" i="8"/>
  <c r="BV29" i="8"/>
  <c r="BV49" i="8"/>
  <c r="BV60" i="8"/>
  <c r="BV62" i="8"/>
  <c r="BT76" i="8"/>
  <c r="BT82" i="8" s="1"/>
  <c r="BT77" i="8"/>
  <c r="BT83" i="8" s="1"/>
  <c r="BT74" i="8"/>
  <c r="BW18" i="12"/>
  <c r="BW32" i="12"/>
  <c r="BU42" i="12"/>
  <c r="BU39" i="12"/>
  <c r="BU25" i="12"/>
  <c r="BU27" i="12"/>
  <c r="BU41" i="12"/>
  <c r="BU28" i="12"/>
  <c r="BV1" i="39"/>
  <c r="BV13" i="12"/>
  <c r="BV14" i="12" s="1"/>
  <c r="AQ46" i="54"/>
  <c r="AQ51" i="54" s="1"/>
  <c r="BV1" i="40"/>
  <c r="BV17" i="8"/>
  <c r="BV7" i="36" s="1"/>
  <c r="BV6" i="37" s="1"/>
  <c r="BV16" i="8"/>
  <c r="BV15" i="8" s="1"/>
  <c r="BW1" i="8"/>
  <c r="BP52" i="12"/>
  <c r="BU65" i="8"/>
  <c r="BU13" i="8"/>
  <c r="BT23" i="8"/>
  <c r="BT37" i="8" s="1"/>
  <c r="BT14" i="8"/>
  <c r="AP48" i="54"/>
  <c r="BT12" i="37"/>
  <c r="BU26" i="8"/>
  <c r="BR79" i="8"/>
  <c r="BR67" i="8"/>
  <c r="BS9" i="12"/>
  <c r="BS44" i="8"/>
  <c r="BP64" i="12"/>
  <c r="BR56" i="12"/>
  <c r="BR68" i="12"/>
  <c r="BT38" i="12"/>
  <c r="BT74" i="40" s="1"/>
  <c r="BQ55" i="12"/>
  <c r="BQ67" i="12"/>
  <c r="BQ16" i="40"/>
  <c r="BR6" i="12"/>
  <c r="BR33" i="8"/>
  <c r="BR40" i="8" s="1"/>
  <c r="BR41" i="8"/>
  <c r="BQ46" i="12"/>
  <c r="BQ65" i="12"/>
  <c r="BQ53" i="12"/>
  <c r="BQ5" i="12"/>
  <c r="BQ58" i="12" s="1"/>
  <c r="BU5" i="40"/>
  <c r="BU9" i="39" s="1"/>
  <c r="BU7" i="40"/>
  <c r="BU8" i="40" s="1"/>
  <c r="BT19" i="40"/>
  <c r="BS80" i="8"/>
  <c r="BS73" i="8"/>
  <c r="BR43" i="8"/>
  <c r="BR8" i="12"/>
  <c r="BU59" i="8"/>
  <c r="BS22" i="8"/>
  <c r="BS36" i="8" s="1"/>
  <c r="BS20" i="8"/>
  <c r="BS34" i="8" s="1"/>
  <c r="AP53" i="54"/>
  <c r="BW56" i="39"/>
  <c r="BW73" i="39" s="1"/>
  <c r="BV73" i="39"/>
  <c r="BV74" i="39" s="1"/>
  <c r="AU13" i="15"/>
  <c r="BV9" i="40"/>
  <c r="BR22" i="39"/>
  <c r="BP7" i="39"/>
  <c r="BP8" i="39" s="1"/>
  <c r="BP44" i="39" s="1"/>
  <c r="BQ18" i="40"/>
  <c r="BH64" i="37"/>
  <c r="BH61" i="37" s="1"/>
  <c r="BH60" i="37" s="1"/>
  <c r="BC20" i="37"/>
  <c r="BC77" i="40" s="1"/>
  <c r="BW1" i="37"/>
  <c r="AR110" i="54" s="1"/>
  <c r="AQ110" i="54"/>
  <c r="BU68" i="8"/>
  <c r="BU70" i="8"/>
  <c r="BU71" i="8"/>
  <c r="BW52" i="8"/>
  <c r="BW50" i="8"/>
  <c r="BW10" i="8"/>
  <c r="BW11" i="8"/>
  <c r="BW8" i="8"/>
  <c r="BW24" i="8"/>
  <c r="BW53" i="8"/>
  <c r="BO26" i="36" l="1"/>
  <c r="BO16" i="39"/>
  <c r="BO35" i="39" s="1"/>
  <c r="BP19" i="36"/>
  <c r="BP10" i="36" s="1"/>
  <c r="BT59" i="40"/>
  <c r="BT72" i="40" s="1"/>
  <c r="BT37" i="40"/>
  <c r="BP21" i="39"/>
  <c r="BT47" i="40"/>
  <c r="BT78" i="40"/>
  <c r="BT48" i="40"/>
  <c r="BS45" i="40"/>
  <c r="BP23" i="39"/>
  <c r="AJ124" i="54"/>
  <c r="BQ52" i="12"/>
  <c r="BT10" i="39"/>
  <c r="BT76" i="40"/>
  <c r="BT30" i="40"/>
  <c r="BS60" i="40"/>
  <c r="BT46" i="40"/>
  <c r="AQ48" i="54"/>
  <c r="BU11" i="40"/>
  <c r="BU76" i="40" s="1"/>
  <c r="BP70" i="12"/>
  <c r="BP71" i="12" s="1"/>
  <c r="BP23" i="40" s="1"/>
  <c r="BP22" i="40" s="1"/>
  <c r="BW63" i="8"/>
  <c r="BW27" i="8"/>
  <c r="BW7" i="8"/>
  <c r="BW30" i="8"/>
  <c r="BW29" i="8"/>
  <c r="BW49" i="8"/>
  <c r="BW60" i="8"/>
  <c r="BW62" i="8"/>
  <c r="BU77" i="8"/>
  <c r="BU83" i="8" s="1"/>
  <c r="BU76" i="8"/>
  <c r="BU82" i="8" s="1"/>
  <c r="BU74" i="8"/>
  <c r="BV41" i="12"/>
  <c r="BV25" i="12"/>
  <c r="BV39" i="12"/>
  <c r="BV42" i="12"/>
  <c r="BV27" i="12"/>
  <c r="BV28" i="12"/>
  <c r="BR65" i="12"/>
  <c r="BR53" i="12"/>
  <c r="BR5" i="12"/>
  <c r="BR58" i="12" s="1"/>
  <c r="BR46" i="12"/>
  <c r="BQ28" i="40"/>
  <c r="BQ27" i="40" s="1"/>
  <c r="BQ24" i="40"/>
  <c r="BQ5" i="39"/>
  <c r="BQ6" i="39" s="1"/>
  <c r="BQ20" i="40"/>
  <c r="AL117" i="54" s="1"/>
  <c r="BQ42" i="40"/>
  <c r="BQ77" i="40"/>
  <c r="BQ31" i="40"/>
  <c r="BU24" i="12"/>
  <c r="BU21" i="37" s="1"/>
  <c r="BU38" i="12"/>
  <c r="BU74" i="40" s="1"/>
  <c r="BV59" i="8"/>
  <c r="BS33" i="8"/>
  <c r="BS40" i="8" s="1"/>
  <c r="BS41" i="8"/>
  <c r="BS6" i="12"/>
  <c r="BQ64" i="12"/>
  <c r="BT22" i="8"/>
  <c r="BT36" i="8" s="1"/>
  <c r="BT20" i="8"/>
  <c r="BT34" i="8" s="1"/>
  <c r="AR46" i="54"/>
  <c r="AR51" i="54" s="1"/>
  <c r="BW1" i="39"/>
  <c r="BW13" i="12"/>
  <c r="BW14" i="12" s="1"/>
  <c r="BW1" i="40"/>
  <c r="BW16" i="8"/>
  <c r="BW15" i="8" s="1"/>
  <c r="BW17" i="8"/>
  <c r="BW7" i="36" s="1"/>
  <c r="BW6" i="37" s="1"/>
  <c r="X48" i="54"/>
  <c r="N48" i="54"/>
  <c r="AC48" i="54"/>
  <c r="R48" i="54"/>
  <c r="AB48" i="54"/>
  <c r="S48" i="54"/>
  <c r="W48" i="54"/>
  <c r="O48" i="54"/>
  <c r="AE48" i="54"/>
  <c r="AQ53" i="54"/>
  <c r="BS43" i="8"/>
  <c r="BS8" i="12"/>
  <c r="BS79" i="8"/>
  <c r="BS67" i="8"/>
  <c r="BT9" i="12"/>
  <c r="BT44" i="8"/>
  <c r="BV26" i="8"/>
  <c r="BU12" i="37"/>
  <c r="BS68" i="12"/>
  <c r="BS56" i="12"/>
  <c r="BV13" i="8"/>
  <c r="BU23" i="8"/>
  <c r="BU37" i="8" s="1"/>
  <c r="BU14" i="8"/>
  <c r="BR55" i="12"/>
  <c r="BR67" i="12"/>
  <c r="BU19" i="40"/>
  <c r="BR16" i="40"/>
  <c r="BQ19" i="36"/>
  <c r="BQ10" i="36" s="1"/>
  <c r="BP21" i="36"/>
  <c r="BQ22" i="36" s="1"/>
  <c r="BP26" i="36"/>
  <c r="BV65" i="8"/>
  <c r="BV5" i="40"/>
  <c r="BV9" i="39" s="1"/>
  <c r="BV7" i="40"/>
  <c r="BV8" i="40" s="1"/>
  <c r="BT80" i="8"/>
  <c r="BT73" i="8"/>
  <c r="BW74" i="39"/>
  <c r="BW9" i="40"/>
  <c r="BS22" i="39"/>
  <c r="BR18" i="40"/>
  <c r="BQ7" i="39"/>
  <c r="BQ8" i="39" s="1"/>
  <c r="BQ44" i="39" s="1"/>
  <c r="BO72" i="39"/>
  <c r="BH58" i="37"/>
  <c r="BC18" i="37"/>
  <c r="BD25" i="37" s="1"/>
  <c r="BD22" i="37" s="1"/>
  <c r="BV71" i="8"/>
  <c r="BV70" i="8"/>
  <c r="BV68" i="8"/>
  <c r="BT60" i="40" l="1"/>
  <c r="BP71" i="39"/>
  <c r="BP72" i="39" s="1"/>
  <c r="BT45" i="40"/>
  <c r="BP16" i="39"/>
  <c r="BP35" i="39" s="1"/>
  <c r="BQ70" i="12"/>
  <c r="BQ71" i="12" s="1"/>
  <c r="BQ23" i="40" s="1"/>
  <c r="BQ22" i="40" s="1"/>
  <c r="BU10" i="39"/>
  <c r="BU37" i="40"/>
  <c r="BU75" i="40"/>
  <c r="BU30" i="40"/>
  <c r="BU78" i="40"/>
  <c r="BU47" i="40"/>
  <c r="BU59" i="40"/>
  <c r="BU48" i="40"/>
  <c r="BU46" i="40"/>
  <c r="BV24" i="12"/>
  <c r="BV21" i="37" s="1"/>
  <c r="BS16" i="40"/>
  <c r="BS20" i="40" s="1"/>
  <c r="AN117" i="54" s="1"/>
  <c r="BV74" i="8"/>
  <c r="BV76" i="8"/>
  <c r="BV82" i="8" s="1"/>
  <c r="BV77" i="8"/>
  <c r="BV83" i="8" s="1"/>
  <c r="BW41" i="12"/>
  <c r="BW27" i="12"/>
  <c r="BW28" i="12"/>
  <c r="BW42" i="12"/>
  <c r="BW25" i="12"/>
  <c r="BW39" i="12"/>
  <c r="BU22" i="8"/>
  <c r="BU36" i="8" s="1"/>
  <c r="BU20" i="8"/>
  <c r="BU34" i="8" s="1"/>
  <c r="BV11" i="40"/>
  <c r="BT79" i="8"/>
  <c r="BT67" i="8"/>
  <c r="BU9" i="12"/>
  <c r="BU44" i="8"/>
  <c r="BT33" i="8"/>
  <c r="BT40" i="8" s="1"/>
  <c r="BT6" i="12"/>
  <c r="BT41" i="8"/>
  <c r="BV38" i="12"/>
  <c r="BV74" i="40" s="1"/>
  <c r="BW59" i="8"/>
  <c r="BW13" i="8"/>
  <c r="BW23" i="8" s="1"/>
  <c r="BW37" i="8" s="1"/>
  <c r="BV23" i="8"/>
  <c r="BV37" i="8" s="1"/>
  <c r="BV14" i="8"/>
  <c r="BT43" i="8"/>
  <c r="BT8" i="12"/>
  <c r="BR52" i="12"/>
  <c r="AR53" i="54"/>
  <c r="BV19" i="40"/>
  <c r="BW19" i="40" s="1"/>
  <c r="BT68" i="12"/>
  <c r="BT56" i="12"/>
  <c r="BR64" i="12"/>
  <c r="BQ23" i="39"/>
  <c r="BQ17" i="39"/>
  <c r="BQ16" i="36" s="1"/>
  <c r="BQ21" i="39"/>
  <c r="BR77" i="40"/>
  <c r="BR42" i="40"/>
  <c r="BR20" i="40"/>
  <c r="AM117" i="54" s="1"/>
  <c r="BR28" i="40"/>
  <c r="BR27" i="40" s="1"/>
  <c r="BR5" i="39"/>
  <c r="BR6" i="39" s="1"/>
  <c r="BR24" i="40"/>
  <c r="BR31" i="40"/>
  <c r="BW7" i="40"/>
  <c r="BW8" i="40" s="1"/>
  <c r="BW5" i="40"/>
  <c r="BW9" i="39" s="1"/>
  <c r="C284" i="54"/>
  <c r="B112" i="54"/>
  <c r="F284" i="54"/>
  <c r="D284" i="54"/>
  <c r="E284" i="54"/>
  <c r="G284" i="54"/>
  <c r="H284" i="54"/>
  <c r="I284" i="54"/>
  <c r="J284" i="54"/>
  <c r="K284" i="54"/>
  <c r="L284" i="54"/>
  <c r="BS65" i="12"/>
  <c r="BS53" i="12"/>
  <c r="BS46" i="12"/>
  <c r="BS5" i="12"/>
  <c r="BS58" i="12" s="1"/>
  <c r="BU80" i="8"/>
  <c r="BU73" i="8"/>
  <c r="BV12" i="37"/>
  <c r="BU13" i="37" s="1"/>
  <c r="BU11" i="37" s="1"/>
  <c r="BU53" i="37" s="1"/>
  <c r="BW26" i="8"/>
  <c r="BW11" i="40" s="1"/>
  <c r="BW65" i="8"/>
  <c r="BU60" i="40"/>
  <c r="BU72" i="40"/>
  <c r="BS67" i="12"/>
  <c r="BS55" i="12"/>
  <c r="X18" i="41"/>
  <c r="G18" i="41"/>
  <c r="AB18" i="41"/>
  <c r="I18" i="41"/>
  <c r="C18" i="41"/>
  <c r="U18" i="41"/>
  <c r="Y18" i="41"/>
  <c r="R18" i="41"/>
  <c r="N18" i="41"/>
  <c r="D18" i="41"/>
  <c r="T18" i="41"/>
  <c r="AE18" i="41"/>
  <c r="L18" i="41"/>
  <c r="P18" i="41"/>
  <c r="M18" i="41"/>
  <c r="S18" i="41"/>
  <c r="AD18" i="41"/>
  <c r="O18" i="41"/>
  <c r="J18" i="41"/>
  <c r="AC18" i="41"/>
  <c r="AA18" i="41"/>
  <c r="Z18" i="41"/>
  <c r="F18" i="41"/>
  <c r="K18" i="41"/>
  <c r="W18" i="41"/>
  <c r="Q18" i="41"/>
  <c r="E18" i="41"/>
  <c r="H18" i="41"/>
  <c r="AF18" i="41"/>
  <c r="V18" i="41"/>
  <c r="BT22" i="39"/>
  <c r="BS18" i="40"/>
  <c r="BR7" i="39"/>
  <c r="BR8" i="39" s="1"/>
  <c r="BR44" i="39" s="1"/>
  <c r="BI64" i="37"/>
  <c r="BI61" i="37" s="1"/>
  <c r="BI60" i="37" s="1"/>
  <c r="BD20" i="37"/>
  <c r="BD77" i="40" s="1"/>
  <c r="BW68" i="8"/>
  <c r="BW71" i="8"/>
  <c r="BW70" i="8"/>
  <c r="BS5" i="39" l="1"/>
  <c r="BS6" i="39" s="1"/>
  <c r="BS21" i="39" s="1"/>
  <c r="BQ71" i="39"/>
  <c r="BQ72" i="39" s="1"/>
  <c r="BU45" i="40"/>
  <c r="BS31" i="40"/>
  <c r="BS24" i="40"/>
  <c r="BS77" i="40"/>
  <c r="BS42" i="40"/>
  <c r="BS28" i="40"/>
  <c r="BS27" i="40" s="1"/>
  <c r="BQ16" i="39"/>
  <c r="BQ35" i="39" s="1"/>
  <c r="BW24" i="12"/>
  <c r="BW21" i="37" s="1"/>
  <c r="BR70" i="12"/>
  <c r="BR71" i="12" s="1"/>
  <c r="BR23" i="40" s="1"/>
  <c r="BR22" i="40" s="1"/>
  <c r="BT13" i="37"/>
  <c r="BT11" i="37" s="1"/>
  <c r="BT53" i="37" s="1"/>
  <c r="BT16" i="40"/>
  <c r="BT5" i="39" s="1"/>
  <c r="BT6" i="39" s="1"/>
  <c r="BT21" i="39" s="1"/>
  <c r="BW76" i="8"/>
  <c r="BW82" i="8" s="1"/>
  <c r="BW77" i="8"/>
  <c r="BW83" i="8" s="1"/>
  <c r="BW74" i="8"/>
  <c r="BU79" i="8"/>
  <c r="BU67" i="8"/>
  <c r="BV44" i="8"/>
  <c r="BV9" i="12"/>
  <c r="BQ13" i="37"/>
  <c r="BQ11" i="37" s="1"/>
  <c r="BQ53" i="37" s="1"/>
  <c r="BV76" i="40"/>
  <c r="BV30" i="40"/>
  <c r="BV37" i="40"/>
  <c r="BV59" i="40"/>
  <c r="BV78" i="40"/>
  <c r="BV46" i="40"/>
  <c r="BV47" i="40"/>
  <c r="BV48" i="40"/>
  <c r="BV75" i="40"/>
  <c r="BV10" i="39"/>
  <c r="BW44" i="8"/>
  <c r="BU68" i="12"/>
  <c r="BU56" i="12"/>
  <c r="BR13" i="37"/>
  <c r="BR11" i="37" s="1"/>
  <c r="BR53" i="37" s="1"/>
  <c r="BS52" i="12"/>
  <c r="BQ26" i="36"/>
  <c r="BQ21" i="36"/>
  <c r="BR22" i="36" s="1"/>
  <c r="BR19" i="36"/>
  <c r="BR10" i="36" s="1"/>
  <c r="BU33" i="8"/>
  <c r="BU40" i="8" s="1"/>
  <c r="BU6" i="12"/>
  <c r="BU41" i="8"/>
  <c r="BS64" i="12"/>
  <c r="BU43" i="8"/>
  <c r="BU8" i="12"/>
  <c r="BW14" i="8"/>
  <c r="BW76" i="40"/>
  <c r="BW46" i="40"/>
  <c r="BW78" i="40"/>
  <c r="BW59" i="40"/>
  <c r="BW37" i="40"/>
  <c r="BW47" i="40"/>
  <c r="BW30" i="40"/>
  <c r="BW10" i="39"/>
  <c r="BW75" i="40"/>
  <c r="BW48" i="40"/>
  <c r="BR17" i="39"/>
  <c r="BR16" i="36" s="1"/>
  <c r="BR23" i="39"/>
  <c r="BR21" i="39"/>
  <c r="BT67" i="12"/>
  <c r="BT55" i="12"/>
  <c r="BW38" i="12"/>
  <c r="BW74" i="40" s="1"/>
  <c r="BT5" i="12"/>
  <c r="BT58" i="12" s="1"/>
  <c r="BT65" i="12"/>
  <c r="BT53" i="12"/>
  <c r="BT46" i="12"/>
  <c r="BV13" i="37"/>
  <c r="BV11" i="37" s="1"/>
  <c r="BV53" i="37" s="1"/>
  <c r="AJ13" i="37"/>
  <c r="AJ11" i="37" s="1"/>
  <c r="AJ53" i="37" s="1"/>
  <c r="AL13" i="37"/>
  <c r="AL11" i="37" s="1"/>
  <c r="AL53" i="37" s="1"/>
  <c r="AH13" i="37"/>
  <c r="AH11" i="37" s="1"/>
  <c r="AH53" i="37" s="1"/>
  <c r="AN13" i="37"/>
  <c r="AN11" i="37" s="1"/>
  <c r="AN53" i="37" s="1"/>
  <c r="AK13" i="37"/>
  <c r="AK11" i="37" s="1"/>
  <c r="AK53" i="37" s="1"/>
  <c r="AF13" i="37"/>
  <c r="AI13" i="37"/>
  <c r="AI11" i="37" s="1"/>
  <c r="AI53" i="37" s="1"/>
  <c r="AO13" i="37"/>
  <c r="AO11" i="37" s="1"/>
  <c r="AO53" i="37" s="1"/>
  <c r="AG13" i="37"/>
  <c r="AG11" i="37" s="1"/>
  <c r="AM13" i="37"/>
  <c r="AM11" i="37" s="1"/>
  <c r="AM53" i="37" s="1"/>
  <c r="AP13" i="37"/>
  <c r="AP11" i="37" s="1"/>
  <c r="AP53" i="37" s="1"/>
  <c r="AQ13" i="37"/>
  <c r="AQ11" i="37" s="1"/>
  <c r="AQ53" i="37" s="1"/>
  <c r="AR13" i="37"/>
  <c r="AR11" i="37" s="1"/>
  <c r="AR53" i="37" s="1"/>
  <c r="AS13" i="37"/>
  <c r="AS11" i="37" s="1"/>
  <c r="AS53" i="37" s="1"/>
  <c r="AU13" i="37"/>
  <c r="AU11" i="37" s="1"/>
  <c r="AU53" i="37" s="1"/>
  <c r="AV13" i="37"/>
  <c r="AV11" i="37" s="1"/>
  <c r="AV53" i="37" s="1"/>
  <c r="AT13" i="37"/>
  <c r="AT11" i="37" s="1"/>
  <c r="AT53" i="37" s="1"/>
  <c r="AX13" i="37"/>
  <c r="AX11" i="37" s="1"/>
  <c r="AX53" i="37" s="1"/>
  <c r="AW13" i="37"/>
  <c r="AW11" i="37" s="1"/>
  <c r="AW53" i="37" s="1"/>
  <c r="AY13" i="37"/>
  <c r="AY11" i="37" s="1"/>
  <c r="AY53" i="37" s="1"/>
  <c r="AZ13" i="37"/>
  <c r="AZ11" i="37" s="1"/>
  <c r="AZ53" i="37" s="1"/>
  <c r="BA13" i="37"/>
  <c r="BA11" i="37" s="1"/>
  <c r="BA53" i="37" s="1"/>
  <c r="BB13" i="37"/>
  <c r="BB11" i="37" s="1"/>
  <c r="BB53" i="37" s="1"/>
  <c r="BC13" i="37"/>
  <c r="BC11" i="37" s="1"/>
  <c r="BC53" i="37" s="1"/>
  <c r="BD13" i="37"/>
  <c r="BD11" i="37" s="1"/>
  <c r="BD53" i="37" s="1"/>
  <c r="BE13" i="37"/>
  <c r="BE11" i="37" s="1"/>
  <c r="BE53" i="37" s="1"/>
  <c r="BG13" i="37"/>
  <c r="BG11" i="37" s="1"/>
  <c r="BG53" i="37" s="1"/>
  <c r="BF13" i="37"/>
  <c r="BF11" i="37" s="1"/>
  <c r="BF53" i="37" s="1"/>
  <c r="BH13" i="37"/>
  <c r="BH11" i="37" s="1"/>
  <c r="BH53" i="37" s="1"/>
  <c r="BI13" i="37"/>
  <c r="BI11" i="37" s="1"/>
  <c r="BI53" i="37" s="1"/>
  <c r="BJ13" i="37"/>
  <c r="BJ11" i="37" s="1"/>
  <c r="BJ53" i="37" s="1"/>
  <c r="BM13" i="37"/>
  <c r="BM11" i="37" s="1"/>
  <c r="BM53" i="37" s="1"/>
  <c r="BK13" i="37"/>
  <c r="BK11" i="37" s="1"/>
  <c r="BK53" i="37" s="1"/>
  <c r="BL13" i="37"/>
  <c r="BL11" i="37" s="1"/>
  <c r="BL53" i="37" s="1"/>
  <c r="BO13" i="37"/>
  <c r="BO11" i="37" s="1"/>
  <c r="BO53" i="37" s="1"/>
  <c r="BN13" i="37"/>
  <c r="BN11" i="37" s="1"/>
  <c r="BN53" i="37" s="1"/>
  <c r="BS13" i="37"/>
  <c r="BS11" i="37" s="1"/>
  <c r="BS53" i="37" s="1"/>
  <c r="BV20" i="8"/>
  <c r="BV34" i="8" s="1"/>
  <c r="BV22" i="8"/>
  <c r="BV36" i="8" s="1"/>
  <c r="BP13" i="37"/>
  <c r="BP11" i="37" s="1"/>
  <c r="BP53" i="37" s="1"/>
  <c r="BV73" i="8"/>
  <c r="BV80" i="8"/>
  <c r="BU22" i="39"/>
  <c r="BT18" i="40"/>
  <c r="BS7" i="39"/>
  <c r="BS8" i="39" s="1"/>
  <c r="BS44" i="39" s="1"/>
  <c r="BI58" i="37"/>
  <c r="BD18" i="37"/>
  <c r="BE25" i="37" s="1"/>
  <c r="BE22" i="37" s="1"/>
  <c r="BT77" i="40" l="1"/>
  <c r="BT42" i="40"/>
  <c r="BT20" i="40"/>
  <c r="AO117" i="54" s="1"/>
  <c r="BT28" i="40"/>
  <c r="BT27" i="40" s="1"/>
  <c r="BS23" i="39"/>
  <c r="BS71" i="39" s="1"/>
  <c r="BS17" i="39"/>
  <c r="BS16" i="36" s="1"/>
  <c r="BT19" i="36" s="1"/>
  <c r="BT10" i="36" s="1"/>
  <c r="BT24" i="40"/>
  <c r="BT31" i="40"/>
  <c r="BU16" i="40"/>
  <c r="BU42" i="40" s="1"/>
  <c r="AF11" i="37"/>
  <c r="AF53" i="37" s="1"/>
  <c r="BW9" i="12"/>
  <c r="BW68" i="12" s="1"/>
  <c r="BR71" i="39"/>
  <c r="BR72" i="39" s="1"/>
  <c r="BT64" i="12"/>
  <c r="BS70" i="12"/>
  <c r="BS71" i="12" s="1"/>
  <c r="BS23" i="40" s="1"/>
  <c r="BS22" i="40" s="1"/>
  <c r="BT52" i="12"/>
  <c r="BV45" i="40"/>
  <c r="BV41" i="8"/>
  <c r="BV6" i="12"/>
  <c r="BV33" i="8"/>
  <c r="BV40" i="8" s="1"/>
  <c r="BV56" i="12"/>
  <c r="BV68" i="12"/>
  <c r="BT17" i="39"/>
  <c r="BT16" i="36" s="1"/>
  <c r="BT23" i="39"/>
  <c r="BU53" i="12"/>
  <c r="BU65" i="12"/>
  <c r="BU5" i="12"/>
  <c r="BU58" i="12" s="1"/>
  <c r="BU46" i="12"/>
  <c r="BV72" i="40"/>
  <c r="BV60" i="40"/>
  <c r="BR21" i="36"/>
  <c r="BS22" i="36" s="1"/>
  <c r="BS19" i="36"/>
  <c r="BS10" i="36" s="1"/>
  <c r="BR26" i="36"/>
  <c r="AG24" i="37"/>
  <c r="AG23" i="37" s="1"/>
  <c r="AG53" i="37"/>
  <c r="AG63" i="37" s="1"/>
  <c r="AG57" i="37" s="1"/>
  <c r="BW45" i="40"/>
  <c r="BW20" i="8"/>
  <c r="BW34" i="8" s="1"/>
  <c r="BW22" i="8"/>
  <c r="BW36" i="8" s="1"/>
  <c r="BW73" i="8"/>
  <c r="BW80" i="8"/>
  <c r="BR16" i="39"/>
  <c r="BR35" i="39" s="1"/>
  <c r="BU67" i="12"/>
  <c r="BU55" i="12"/>
  <c r="BV67" i="8"/>
  <c r="BV79" i="8"/>
  <c r="BV43" i="8"/>
  <c r="BV8" i="12"/>
  <c r="BW72" i="40"/>
  <c r="BW60" i="40"/>
  <c r="BV22" i="39"/>
  <c r="BU18" i="40"/>
  <c r="BT7" i="39"/>
  <c r="BT8" i="39" s="1"/>
  <c r="BT44" i="39" s="1"/>
  <c r="BJ64" i="37"/>
  <c r="BJ61" i="37" s="1"/>
  <c r="BJ60" i="37" s="1"/>
  <c r="BJ58" i="37"/>
  <c r="BE20" i="37"/>
  <c r="BE77" i="40" s="1"/>
  <c r="BU31" i="40" l="1"/>
  <c r="BS26" i="36"/>
  <c r="BS21" i="36"/>
  <c r="BT22" i="36" s="1"/>
  <c r="BU28" i="40"/>
  <c r="BU27" i="40" s="1"/>
  <c r="BU77" i="40"/>
  <c r="BU24" i="40"/>
  <c r="BU20" i="40"/>
  <c r="AP117" i="54" s="1"/>
  <c r="BU5" i="39"/>
  <c r="BU6" i="39" s="1"/>
  <c r="BU21" i="39" s="1"/>
  <c r="BS16" i="39"/>
  <c r="BS35" i="39" s="1"/>
  <c r="BW56" i="12"/>
  <c r="BT16" i="39"/>
  <c r="BT35" i="39" s="1"/>
  <c r="BT70" i="12"/>
  <c r="BT71" i="12" s="1"/>
  <c r="BT23" i="40" s="1"/>
  <c r="BT22" i="40" s="1"/>
  <c r="BS72" i="39"/>
  <c r="BV16" i="40"/>
  <c r="BV31" i="40" s="1"/>
  <c r="BW79" i="8"/>
  <c r="BW67" i="8"/>
  <c r="BU64" i="12"/>
  <c r="BV55" i="12"/>
  <c r="BV67" i="12"/>
  <c r="BV65" i="12"/>
  <c r="BV53" i="12"/>
  <c r="BV46" i="12"/>
  <c r="BV5" i="12"/>
  <c r="BV58" i="12" s="1"/>
  <c r="BW8" i="12"/>
  <c r="BW43" i="8"/>
  <c r="BW33" i="8"/>
  <c r="BW40" i="8" s="1"/>
  <c r="BW6" i="12"/>
  <c r="BW41" i="8"/>
  <c r="BU52" i="12"/>
  <c r="AG62" i="37"/>
  <c r="AG20" i="40" s="1"/>
  <c r="BU19" i="36"/>
  <c r="BU10" i="36" s="1"/>
  <c r="BT26" i="36"/>
  <c r="BT21" i="36"/>
  <c r="BU22" i="36" s="1"/>
  <c r="BW22" i="39"/>
  <c r="BT71" i="39"/>
  <c r="BT72" i="39" s="1"/>
  <c r="BU7" i="39"/>
  <c r="BU8" i="39" s="1"/>
  <c r="BU44" i="39" s="1"/>
  <c r="BW18" i="40"/>
  <c r="BV18" i="40"/>
  <c r="BK64" i="37"/>
  <c r="BK61" i="37" s="1"/>
  <c r="BK60" i="37" s="1"/>
  <c r="BE18" i="37"/>
  <c r="BF25" i="37" s="1"/>
  <c r="BF22" i="37" s="1"/>
  <c r="BK58" i="37" l="1"/>
  <c r="BU17" i="39"/>
  <c r="BU16" i="36" s="1"/>
  <c r="BU26" i="36" s="1"/>
  <c r="BU23" i="39"/>
  <c r="BU71" i="39" s="1"/>
  <c r="BU72" i="39" s="1"/>
  <c r="BV52" i="12"/>
  <c r="BV64" i="12"/>
  <c r="BV24" i="40"/>
  <c r="BV5" i="39"/>
  <c r="BV6" i="39" s="1"/>
  <c r="BV21" i="39" s="1"/>
  <c r="BV28" i="40"/>
  <c r="BV27" i="40" s="1"/>
  <c r="BV20" i="40"/>
  <c r="AQ117" i="54" s="1"/>
  <c r="BW16" i="40"/>
  <c r="BW24" i="40" s="1"/>
  <c r="BV42" i="40"/>
  <c r="BV77" i="40"/>
  <c r="BW5" i="12"/>
  <c r="BW58" i="12" s="1"/>
  <c r="BW46" i="12"/>
  <c r="BW65" i="12"/>
  <c r="BW53" i="12"/>
  <c r="BU70" i="12"/>
  <c r="BU71" i="12" s="1"/>
  <c r="BU23" i="40" s="1"/>
  <c r="BU22" i="40" s="1"/>
  <c r="AH63" i="37"/>
  <c r="AH62" i="37" s="1"/>
  <c r="AG56" i="37"/>
  <c r="AG32" i="39" s="1"/>
  <c r="BW67" i="12"/>
  <c r="BW55" i="12"/>
  <c r="B117" i="54"/>
  <c r="AG73" i="40"/>
  <c r="AG64" i="40"/>
  <c r="AG17" i="40"/>
  <c r="AG26" i="40" s="1"/>
  <c r="AG44" i="40" s="1"/>
  <c r="BV7" i="39"/>
  <c r="BV8" i="39" s="1"/>
  <c r="BV44" i="39" s="1"/>
  <c r="BW7" i="39"/>
  <c r="BW8" i="39" s="1"/>
  <c r="BW44" i="39" s="1"/>
  <c r="BL64" i="37"/>
  <c r="BL61" i="37" s="1"/>
  <c r="BL60" i="37" s="1"/>
  <c r="BF20" i="37"/>
  <c r="BF77" i="40" s="1"/>
  <c r="BL58" i="37" l="1"/>
  <c r="BU16" i="39"/>
  <c r="BU35" i="39" s="1"/>
  <c r="BV19" i="36"/>
  <c r="BV10" i="36" s="1"/>
  <c r="BU21" i="36"/>
  <c r="BV22" i="36" s="1"/>
  <c r="BW5" i="39"/>
  <c r="BW6" i="39" s="1"/>
  <c r="BW21" i="39" s="1"/>
  <c r="BW28" i="40"/>
  <c r="BW27" i="40" s="1"/>
  <c r="BW31" i="40"/>
  <c r="BV70" i="12"/>
  <c r="BV71" i="12" s="1"/>
  <c r="BV23" i="40" s="1"/>
  <c r="BV22" i="40" s="1"/>
  <c r="BW77" i="40"/>
  <c r="BW42" i="40"/>
  <c r="BW20" i="40"/>
  <c r="AR117" i="54" s="1"/>
  <c r="BW52" i="12"/>
  <c r="BW64" i="12"/>
  <c r="AH57" i="37"/>
  <c r="AH56" i="37" s="1"/>
  <c r="AH32" i="39" s="1"/>
  <c r="BV17" i="39"/>
  <c r="BV16" i="36" s="1"/>
  <c r="BV26" i="36" s="1"/>
  <c r="BV23" i="39"/>
  <c r="BV71" i="39" s="1"/>
  <c r="AG66" i="39"/>
  <c r="AG63" i="40"/>
  <c r="AG65" i="40" s="1"/>
  <c r="AG49" i="40"/>
  <c r="AG52" i="40" s="1"/>
  <c r="BM64" i="37"/>
  <c r="BM61" i="37" s="1"/>
  <c r="BM60" i="37" s="1"/>
  <c r="BM58" i="37"/>
  <c r="BF18" i="37"/>
  <c r="BG25" i="37" s="1"/>
  <c r="BG22" i="37" s="1"/>
  <c r="BW17" i="39" l="1"/>
  <c r="BW16" i="36" s="1"/>
  <c r="BW26" i="36" s="1"/>
  <c r="AI63" i="37"/>
  <c r="AI62" i="37" s="1"/>
  <c r="BW23" i="39"/>
  <c r="BW71" i="39" s="1"/>
  <c r="BW72" i="39" s="1"/>
  <c r="BW70" i="12"/>
  <c r="BW71" i="12" s="1"/>
  <c r="BW23" i="40" s="1"/>
  <c r="BW22" i="40" s="1"/>
  <c r="BW19" i="36"/>
  <c r="BW10" i="36" s="1"/>
  <c r="BV21" i="36"/>
  <c r="BW22" i="36" s="1"/>
  <c r="BV16" i="39"/>
  <c r="BV35" i="39" s="1"/>
  <c r="AG55" i="40"/>
  <c r="AG59" i="40" s="1"/>
  <c r="AG51" i="40"/>
  <c r="AG67" i="40"/>
  <c r="AG28" i="36" s="1"/>
  <c r="AG29" i="36" s="1"/>
  <c r="AG66" i="40"/>
  <c r="BV72" i="39"/>
  <c r="BN64" i="37"/>
  <c r="BN61" i="37" s="1"/>
  <c r="BN60" i="37" s="1"/>
  <c r="BG20" i="37"/>
  <c r="BG77" i="40" s="1"/>
  <c r="BW21" i="36" l="1"/>
  <c r="BN58" i="37"/>
  <c r="AI57" i="37"/>
  <c r="AI56" i="37" s="1"/>
  <c r="AI32" i="39" s="1"/>
  <c r="BW16" i="39"/>
  <c r="BW35" i="39" s="1"/>
  <c r="AG60" i="40"/>
  <c r="AG72" i="40"/>
  <c r="AG71" i="40" s="1"/>
  <c r="AG80" i="40" s="1"/>
  <c r="E5" i="15" s="1"/>
  <c r="BO64" i="37"/>
  <c r="BO61" i="37" s="1"/>
  <c r="BO60" i="37" s="1"/>
  <c r="BG18" i="37"/>
  <c r="BH25" i="37" s="1"/>
  <c r="BH22" i="37" s="1"/>
  <c r="AJ63" i="37" l="1"/>
  <c r="AJ62" i="37" s="1"/>
  <c r="E68" i="15"/>
  <c r="E25" i="15"/>
  <c r="B187" i="54"/>
  <c r="BO58" i="37"/>
  <c r="BH20" i="37"/>
  <c r="BH77" i="40" s="1"/>
  <c r="AJ57" i="37" l="1"/>
  <c r="AJ56" i="37" s="1"/>
  <c r="AJ32" i="39" s="1"/>
  <c r="BP64" i="37"/>
  <c r="BP61" i="37" s="1"/>
  <c r="BP60" i="37" s="1"/>
  <c r="BH18" i="37"/>
  <c r="BI25" i="37" s="1"/>
  <c r="BI22" i="37" s="1"/>
  <c r="AG17" i="37"/>
  <c r="AK63" i="37" l="1"/>
  <c r="AK62" i="37" s="1"/>
  <c r="BP58" i="37"/>
  <c r="BI20" i="37"/>
  <c r="BI77" i="40" s="1"/>
  <c r="AG16" i="37"/>
  <c r="AG31" i="39" s="1"/>
  <c r="AG21" i="40" s="1"/>
  <c r="AH24" i="37"/>
  <c r="AK57" i="37" l="1"/>
  <c r="BQ64" i="37"/>
  <c r="BQ61" i="37" s="1"/>
  <c r="BQ60" i="37" s="1"/>
  <c r="AG28" i="39"/>
  <c r="BI18" i="37"/>
  <c r="AH17" i="37"/>
  <c r="AI24" i="37" s="1"/>
  <c r="AI23" i="37" s="1"/>
  <c r="AI20" i="40" s="1"/>
  <c r="AH23" i="37"/>
  <c r="AH20" i="40" s="1"/>
  <c r="AK56" i="37" l="1"/>
  <c r="AK32" i="39" s="1"/>
  <c r="AL63" i="37"/>
  <c r="C117" i="54"/>
  <c r="D117" i="54"/>
  <c r="AI64" i="40"/>
  <c r="AI73" i="40"/>
  <c r="AI17" i="40"/>
  <c r="AH64" i="40"/>
  <c r="AH73" i="40"/>
  <c r="AH17" i="40"/>
  <c r="BQ58" i="37"/>
  <c r="AH16" i="37"/>
  <c r="AH31" i="39" s="1"/>
  <c r="AH28" i="39" s="1"/>
  <c r="AI17" i="37"/>
  <c r="AJ24" i="37" s="1"/>
  <c r="AJ23" i="37" s="1"/>
  <c r="AJ20" i="40" s="1"/>
  <c r="AG36" i="39"/>
  <c r="AG15" i="39"/>
  <c r="AG57" i="39" s="1"/>
  <c r="BJ25" i="37"/>
  <c r="AG67" i="39" l="1"/>
  <c r="AL62" i="37"/>
  <c r="AL57" i="37"/>
  <c r="E117" i="54"/>
  <c r="AH26" i="40"/>
  <c r="AH44" i="40" s="1"/>
  <c r="AI26" i="40"/>
  <c r="AI44" i="40" s="1"/>
  <c r="AJ73" i="40"/>
  <c r="AJ64" i="40"/>
  <c r="AJ17" i="40"/>
  <c r="AJ17" i="37"/>
  <c r="AK24" i="37" s="1"/>
  <c r="AK23" i="37" s="1"/>
  <c r="AK20" i="40" s="1"/>
  <c r="BR64" i="37"/>
  <c r="BR61" i="37" s="1"/>
  <c r="BR60" i="37" s="1"/>
  <c r="AH21" i="40"/>
  <c r="AI16" i="37"/>
  <c r="AI31" i="39" s="1"/>
  <c r="AI28" i="39" s="1"/>
  <c r="AH36" i="39"/>
  <c r="AH15" i="39"/>
  <c r="AG34" i="39"/>
  <c r="BJ22" i="37"/>
  <c r="BJ20" i="37" s="1"/>
  <c r="BJ77" i="40" s="1"/>
  <c r="BR58" i="37" l="1"/>
  <c r="AM63" i="37"/>
  <c r="AM62" i="37" s="1"/>
  <c r="AL56" i="37"/>
  <c r="AL32" i="39" s="1"/>
  <c r="F117" i="54"/>
  <c r="AJ16" i="37"/>
  <c r="AJ31" i="39" s="1"/>
  <c r="AJ28" i="39" s="1"/>
  <c r="AI63" i="40"/>
  <c r="AI65" i="40" s="1"/>
  <c r="AI66" i="40" s="1"/>
  <c r="AH63" i="40"/>
  <c r="AH65" i="40" s="1"/>
  <c r="AH66" i="40" s="1"/>
  <c r="AH49" i="40"/>
  <c r="AK64" i="40"/>
  <c r="AK73" i="40"/>
  <c r="AK17" i="40"/>
  <c r="AK17" i="37"/>
  <c r="AL24" i="37" s="1"/>
  <c r="AL23" i="37" s="1"/>
  <c r="AL20" i="40" s="1"/>
  <c r="AJ26" i="40"/>
  <c r="AJ44" i="40" s="1"/>
  <c r="BS64" i="37"/>
  <c r="BS61" i="37" s="1"/>
  <c r="BS60" i="37" s="1"/>
  <c r="BJ18" i="37"/>
  <c r="BK25" i="37" s="1"/>
  <c r="BK22" i="37" s="1"/>
  <c r="BK20" i="37" s="1"/>
  <c r="BK77" i="40" s="1"/>
  <c r="AI21" i="40"/>
  <c r="AH34" i="39"/>
  <c r="AI36" i="39"/>
  <c r="AI15" i="39"/>
  <c r="BS58" i="37" l="1"/>
  <c r="AM57" i="37"/>
  <c r="AM56" i="37" s="1"/>
  <c r="AM32" i="39" s="1"/>
  <c r="G117" i="54"/>
  <c r="AK16" i="37"/>
  <c r="AK31" i="39" s="1"/>
  <c r="AK21" i="40" s="1"/>
  <c r="AJ21" i="40"/>
  <c r="AL17" i="37"/>
  <c r="AM24" i="37" s="1"/>
  <c r="AM23" i="37" s="1"/>
  <c r="AM20" i="40" s="1"/>
  <c r="AH52" i="40"/>
  <c r="AH55" i="40" s="1"/>
  <c r="AH59" i="40" s="1"/>
  <c r="AH67" i="40"/>
  <c r="AH28" i="36"/>
  <c r="AH29" i="36" s="1"/>
  <c r="AL73" i="40"/>
  <c r="AL64" i="40"/>
  <c r="AL17" i="40"/>
  <c r="AJ63" i="40"/>
  <c r="AJ65" i="40" s="1"/>
  <c r="AJ66" i="40" s="1"/>
  <c r="AK26" i="40"/>
  <c r="AK44" i="40" s="1"/>
  <c r="AI67" i="40"/>
  <c r="AI28" i="36"/>
  <c r="AI29" i="36" s="1"/>
  <c r="BT64" i="37"/>
  <c r="BT61" i="37" s="1"/>
  <c r="BT60" i="37" s="1"/>
  <c r="AJ36" i="39"/>
  <c r="AJ15" i="39"/>
  <c r="AI34" i="39"/>
  <c r="BK18" i="37"/>
  <c r="BL25" i="37" s="1"/>
  <c r="BL22" i="37" s="1"/>
  <c r="AN63" i="37" l="1"/>
  <c r="AN62" i="37" s="1"/>
  <c r="H117" i="54"/>
  <c r="AM64" i="40"/>
  <c r="AK28" i="39"/>
  <c r="AK15" i="39" s="1"/>
  <c r="AM17" i="37"/>
  <c r="AN24" i="37" s="1"/>
  <c r="AN23" i="37" s="1"/>
  <c r="AL16" i="37"/>
  <c r="AL31" i="39" s="1"/>
  <c r="AL28" i="39" s="1"/>
  <c r="AM73" i="40"/>
  <c r="AM17" i="40"/>
  <c r="AM26" i="40" s="1"/>
  <c r="AM44" i="40" s="1"/>
  <c r="AI27" i="36"/>
  <c r="AH60" i="40"/>
  <c r="AH72" i="40"/>
  <c r="AH71" i="40" s="1"/>
  <c r="AK63" i="40"/>
  <c r="AK65" i="40" s="1"/>
  <c r="AK66" i="40" s="1"/>
  <c r="AH51" i="40"/>
  <c r="AJ28" i="36"/>
  <c r="AJ29" i="36" s="1"/>
  <c r="AJ67" i="40"/>
  <c r="AL26" i="40"/>
  <c r="AL44" i="40" s="1"/>
  <c r="BT58" i="37"/>
  <c r="AJ34" i="39"/>
  <c r="BL20" i="37"/>
  <c r="AN20" i="40" l="1"/>
  <c r="AN73" i="40" s="1"/>
  <c r="AN57" i="37"/>
  <c r="AO63" i="37" s="1"/>
  <c r="AO62" i="37" s="1"/>
  <c r="AN17" i="37"/>
  <c r="AO24" i="37" s="1"/>
  <c r="AO23" i="37" s="1"/>
  <c r="AK36" i="39"/>
  <c r="AM16" i="37"/>
  <c r="AM31" i="39" s="1"/>
  <c r="AM21" i="40" s="1"/>
  <c r="AL21" i="40"/>
  <c r="AI78" i="40"/>
  <c r="AI66" i="39" s="1"/>
  <c r="AJ40" i="36"/>
  <c r="AH27" i="36"/>
  <c r="AH78" i="40" s="1"/>
  <c r="AJ27" i="36"/>
  <c r="AM63" i="40"/>
  <c r="AM65" i="40" s="1"/>
  <c r="AM66" i="40" s="1"/>
  <c r="AL63" i="40"/>
  <c r="AL65" i="40" s="1"/>
  <c r="AL66" i="40" s="1"/>
  <c r="AK28" i="36"/>
  <c r="AK29" i="36" s="1"/>
  <c r="AK67" i="40"/>
  <c r="BU64" i="37"/>
  <c r="BU61" i="37" s="1"/>
  <c r="BU60" i="37" s="1"/>
  <c r="AK34" i="39"/>
  <c r="AL36" i="39"/>
  <c r="AL15" i="39"/>
  <c r="BL18" i="37"/>
  <c r="BM25" i="37" s="1"/>
  <c r="BM22" i="37" s="1"/>
  <c r="AN17" i="40" l="1"/>
  <c r="AN26" i="40" s="1"/>
  <c r="AN44" i="40" s="1"/>
  <c r="AN64" i="40"/>
  <c r="I117" i="54"/>
  <c r="AN56" i="37"/>
  <c r="AN32" i="39" s="1"/>
  <c r="AO57" i="37"/>
  <c r="AO20" i="40"/>
  <c r="AO17" i="40" s="1"/>
  <c r="AO26" i="40" s="1"/>
  <c r="AO44" i="40" s="1"/>
  <c r="AO17" i="37"/>
  <c r="AP24" i="37" s="1"/>
  <c r="AP23" i="37" s="1"/>
  <c r="AN16" i="37"/>
  <c r="AN31" i="39" s="1"/>
  <c r="AN21" i="40" s="1"/>
  <c r="AM28" i="39"/>
  <c r="AM15" i="39" s="1"/>
  <c r="AH80" i="40"/>
  <c r="F5" i="15" s="1"/>
  <c r="AI39" i="36"/>
  <c r="AI11" i="36" s="1"/>
  <c r="AI40" i="36"/>
  <c r="AI12" i="36" s="1"/>
  <c r="AI48" i="40" s="1"/>
  <c r="AJ11" i="36"/>
  <c r="AJ12" i="36"/>
  <c r="AH52" i="39"/>
  <c r="AH51" i="39" s="1"/>
  <c r="AH47" i="39"/>
  <c r="AH42" i="39" s="1"/>
  <c r="AI52" i="39"/>
  <c r="AI51" i="39" s="1"/>
  <c r="AI47" i="39"/>
  <c r="AI42" i="39" s="1"/>
  <c r="AJ78" i="40"/>
  <c r="AK40" i="36"/>
  <c r="AH66" i="39"/>
  <c r="AK27" i="36"/>
  <c r="AN63" i="40"/>
  <c r="AL67" i="40"/>
  <c r="AL28" i="36"/>
  <c r="AL29" i="36" s="1"/>
  <c r="AM67" i="40"/>
  <c r="AM28" i="36"/>
  <c r="AM29" i="36" s="1"/>
  <c r="BU58" i="37"/>
  <c r="AL34" i="39"/>
  <c r="BM20" i="37"/>
  <c r="AI57" i="39" l="1"/>
  <c r="AH57" i="39"/>
  <c r="AH67" i="39" s="1"/>
  <c r="AO73" i="40"/>
  <c r="J117" i="54"/>
  <c r="AO64" i="40"/>
  <c r="AN65" i="40"/>
  <c r="AN66" i="40" s="1"/>
  <c r="AP63" i="37"/>
  <c r="AP62" i="37" s="1"/>
  <c r="AP20" i="40" s="1"/>
  <c r="K117" i="54" s="1"/>
  <c r="AO56" i="37"/>
  <c r="AO32" i="39" s="1"/>
  <c r="AJ48" i="40"/>
  <c r="AJ9" i="36"/>
  <c r="AN28" i="39"/>
  <c r="AN36" i="39" s="1"/>
  <c r="AO16" i="37"/>
  <c r="AO31" i="39" s="1"/>
  <c r="AO21" i="40" s="1"/>
  <c r="AP17" i="37"/>
  <c r="AQ24" i="37" s="1"/>
  <c r="AQ23" i="37" s="1"/>
  <c r="AM36" i="39"/>
  <c r="AK11" i="36"/>
  <c r="AK47" i="40" s="1"/>
  <c r="AK12" i="36"/>
  <c r="AK48" i="40" s="1"/>
  <c r="AJ66" i="39"/>
  <c r="AI47" i="40"/>
  <c r="AI45" i="40" s="1"/>
  <c r="AI9" i="36"/>
  <c r="AJ52" i="39"/>
  <c r="AJ51" i="39" s="1"/>
  <c r="AJ47" i="39"/>
  <c r="AJ42" i="39" s="1"/>
  <c r="AK78" i="40"/>
  <c r="AJ47" i="40"/>
  <c r="AM27" i="36"/>
  <c r="AL27" i="36"/>
  <c r="AO63" i="40"/>
  <c r="BV64" i="37"/>
  <c r="BV61" i="37" s="1"/>
  <c r="BV60" i="37" s="1"/>
  <c r="BV58" i="37"/>
  <c r="AM34" i="39"/>
  <c r="BM18" i="37"/>
  <c r="BN25" i="37" s="1"/>
  <c r="BN22" i="37" s="1"/>
  <c r="AI67" i="39" l="1"/>
  <c r="AJ57" i="39"/>
  <c r="AJ67" i="39" s="1"/>
  <c r="AO65" i="40"/>
  <c r="AO66" i="40" s="1"/>
  <c r="AJ45" i="40"/>
  <c r="AJ49" i="40" s="1"/>
  <c r="AN28" i="36"/>
  <c r="AN29" i="36" s="1"/>
  <c r="AN67" i="40"/>
  <c r="AP73" i="40"/>
  <c r="AP57" i="37"/>
  <c r="AP17" i="40"/>
  <c r="AP26" i="40" s="1"/>
  <c r="AP44" i="40" s="1"/>
  <c r="AP63" i="40" s="1"/>
  <c r="AP64" i="40"/>
  <c r="AN15" i="39"/>
  <c r="AP16" i="37"/>
  <c r="AP31" i="39" s="1"/>
  <c r="AO28" i="39"/>
  <c r="AO15" i="39" s="1"/>
  <c r="AQ17" i="37"/>
  <c r="AR24" i="37" s="1"/>
  <c r="AR23" i="37" s="1"/>
  <c r="C187" i="54"/>
  <c r="AK9" i="36"/>
  <c r="AK45" i="40"/>
  <c r="AL39" i="36"/>
  <c r="AL11" i="36" s="1"/>
  <c r="AL47" i="40" s="1"/>
  <c r="AL40" i="36"/>
  <c r="AL12" i="36" s="1"/>
  <c r="AL48" i="40" s="1"/>
  <c r="AN39" i="36"/>
  <c r="AN11" i="36" s="1"/>
  <c r="AN47" i="40" s="1"/>
  <c r="AN40" i="36"/>
  <c r="AN12" i="36" s="1"/>
  <c r="AN48" i="40" s="1"/>
  <c r="AK66" i="39"/>
  <c r="AM47" i="39"/>
  <c r="AM42" i="39" s="1"/>
  <c r="AM52" i="39"/>
  <c r="AM51" i="39" s="1"/>
  <c r="AI49" i="40"/>
  <c r="AL78" i="40"/>
  <c r="AK52" i="39"/>
  <c r="AK51" i="39" s="1"/>
  <c r="AK47" i="39"/>
  <c r="AK42" i="39" s="1"/>
  <c r="AM78" i="40"/>
  <c r="AN27" i="36"/>
  <c r="AO67" i="40"/>
  <c r="BW64" i="37"/>
  <c r="BW61" i="37" s="1"/>
  <c r="BW60" i="37" s="1"/>
  <c r="BN20" i="37"/>
  <c r="AO28" i="36" l="1"/>
  <c r="AO29" i="36" s="1"/>
  <c r="AM57" i="39"/>
  <c r="AK57" i="39"/>
  <c r="AK67" i="39" s="1"/>
  <c r="AN34" i="39"/>
  <c r="AP65" i="40"/>
  <c r="AP66" i="40" s="1"/>
  <c r="AP56" i="37"/>
  <c r="AP32" i="39" s="1"/>
  <c r="AP28" i="39" s="1"/>
  <c r="AQ63" i="37"/>
  <c r="BW58" i="37"/>
  <c r="AP21" i="40"/>
  <c r="AQ16" i="37"/>
  <c r="AQ31" i="39" s="1"/>
  <c r="AR17" i="37"/>
  <c r="AS24" i="37" s="1"/>
  <c r="AS23" i="37" s="1"/>
  <c r="AO36" i="39"/>
  <c r="AL45" i="40"/>
  <c r="AK49" i="40"/>
  <c r="AK52" i="40" s="1"/>
  <c r="AK55" i="40" s="1"/>
  <c r="AK59" i="40" s="1"/>
  <c r="AN9" i="36"/>
  <c r="AL9" i="36"/>
  <c r="AN45" i="40"/>
  <c r="AM39" i="36"/>
  <c r="AM11" i="36" s="1"/>
  <c r="AM47" i="40" s="1"/>
  <c r="AM40" i="36"/>
  <c r="AM12" i="36" s="1"/>
  <c r="AM48" i="40" s="1"/>
  <c r="AL66" i="39"/>
  <c r="AI52" i="40"/>
  <c r="AI55" i="40" s="1"/>
  <c r="AI59" i="40" s="1"/>
  <c r="AJ52" i="40"/>
  <c r="AJ55" i="40" s="1"/>
  <c r="AJ59" i="40" s="1"/>
  <c r="AN78" i="40"/>
  <c r="AN66" i="39" s="1"/>
  <c r="AL47" i="39"/>
  <c r="AL42" i="39" s="1"/>
  <c r="AL52" i="39"/>
  <c r="AL51" i="39" s="1"/>
  <c r="AM66" i="39"/>
  <c r="AO27" i="36"/>
  <c r="AO34" i="39"/>
  <c r="BN18" i="37"/>
  <c r="BO25" i="37" s="1"/>
  <c r="BO22" i="37" s="1"/>
  <c r="AL57" i="39" l="1"/>
  <c r="AL67" i="39" s="1"/>
  <c r="AP67" i="40"/>
  <c r="AP28" i="36"/>
  <c r="AP29" i="36" s="1"/>
  <c r="AP36" i="39"/>
  <c r="AP15" i="39"/>
  <c r="AQ62" i="37"/>
  <c r="AQ20" i="40" s="1"/>
  <c r="AQ21" i="40" s="1"/>
  <c r="AQ57" i="37"/>
  <c r="AR16" i="37"/>
  <c r="AR31" i="39" s="1"/>
  <c r="AS17" i="37"/>
  <c r="AT24" i="37" s="1"/>
  <c r="AT23" i="37" s="1"/>
  <c r="AL49" i="40"/>
  <c r="AL52" i="40" s="1"/>
  <c r="AM9" i="36"/>
  <c r="AN49" i="40"/>
  <c r="AN52" i="40" s="1"/>
  <c r="AN55" i="40" s="1"/>
  <c r="AN59" i="40" s="1"/>
  <c r="AM45" i="40"/>
  <c r="AO39" i="36"/>
  <c r="AO11" i="36" s="1"/>
  <c r="AO47" i="40" s="1"/>
  <c r="AO40" i="36"/>
  <c r="AO12" i="36" s="1"/>
  <c r="AO48" i="40" s="1"/>
  <c r="AK60" i="40"/>
  <c r="AK72" i="40"/>
  <c r="AK71" i="40" s="1"/>
  <c r="AK80" i="40" s="1"/>
  <c r="I5" i="15" s="1"/>
  <c r="AK51" i="40"/>
  <c r="AJ72" i="40"/>
  <c r="AJ71" i="40" s="1"/>
  <c r="AJ80" i="40" s="1"/>
  <c r="H5" i="15" s="1"/>
  <c r="AJ60" i="40"/>
  <c r="AN47" i="39"/>
  <c r="AN42" i="39" s="1"/>
  <c r="AN52" i="39"/>
  <c r="AN51" i="39" s="1"/>
  <c r="AJ51" i="40"/>
  <c r="AI72" i="40"/>
  <c r="AI71" i="40" s="1"/>
  <c r="AI80" i="40" s="1"/>
  <c r="G5" i="15" s="1"/>
  <c r="AI60" i="40"/>
  <c r="AO78" i="40"/>
  <c r="AI51" i="40"/>
  <c r="AP27" i="36"/>
  <c r="AP34" i="39"/>
  <c r="BO20" i="37"/>
  <c r="AM67" i="39" l="1"/>
  <c r="AN57" i="39"/>
  <c r="AN67" i="39" s="1"/>
  <c r="AR63" i="37"/>
  <c r="AR62" i="37" s="1"/>
  <c r="AR20" i="40" s="1"/>
  <c r="AR21" i="40" s="1"/>
  <c r="AQ56" i="37"/>
  <c r="AQ32" i="39" s="1"/>
  <c r="AQ28" i="39" s="1"/>
  <c r="AQ36" i="39" s="1"/>
  <c r="AQ64" i="40"/>
  <c r="AQ17" i="40"/>
  <c r="AQ26" i="40" s="1"/>
  <c r="AQ44" i="40" s="1"/>
  <c r="AQ63" i="40" s="1"/>
  <c r="AQ73" i="40"/>
  <c r="L117" i="54"/>
  <c r="AS16" i="37"/>
  <c r="AS31" i="39" s="1"/>
  <c r="AT17" i="37"/>
  <c r="AU24" i="37" s="1"/>
  <c r="AU23" i="37" s="1"/>
  <c r="AL51" i="40"/>
  <c r="AL55" i="40"/>
  <c r="AL59" i="40" s="1"/>
  <c r="AL72" i="40" s="1"/>
  <c r="AL71" i="40" s="1"/>
  <c r="AL80" i="40" s="1"/>
  <c r="J5" i="15" s="1"/>
  <c r="AM49" i="40"/>
  <c r="AM52" i="40" s="1"/>
  <c r="AM51" i="40" s="1"/>
  <c r="AO45" i="40"/>
  <c r="AO9" i="36"/>
  <c r="AP39" i="36"/>
  <c r="AP11" i="36" s="1"/>
  <c r="AP47" i="40" s="1"/>
  <c r="AP40" i="36"/>
  <c r="AP12" i="36" s="1"/>
  <c r="AP48" i="40" s="1"/>
  <c r="AN60" i="40"/>
  <c r="AN72" i="40"/>
  <c r="AN71" i="40" s="1"/>
  <c r="AN80" i="40" s="1"/>
  <c r="L5" i="15" s="1"/>
  <c r="AN51" i="40"/>
  <c r="AO66" i="39"/>
  <c r="AP78" i="40"/>
  <c r="AP66" i="39" s="1"/>
  <c r="AO52" i="39"/>
  <c r="AO51" i="39" s="1"/>
  <c r="AO47" i="39"/>
  <c r="AO42" i="39" s="1"/>
  <c r="E187" i="54"/>
  <c r="AQ27" i="36"/>
  <c r="BO18" i="37"/>
  <c r="BP25" i="37" s="1"/>
  <c r="BP22" i="37" s="1"/>
  <c r="AO57" i="39" l="1"/>
  <c r="AO67" i="39" s="1"/>
  <c r="AQ65" i="40"/>
  <c r="AQ66" i="40" s="1"/>
  <c r="AR57" i="37"/>
  <c r="AS63" i="37" s="1"/>
  <c r="AS62" i="37" s="1"/>
  <c r="AS20" i="40" s="1"/>
  <c r="AS73" i="40" s="1"/>
  <c r="AQ15" i="39"/>
  <c r="AQ67" i="40"/>
  <c r="AQ28" i="36"/>
  <c r="AQ29" i="36" s="1"/>
  <c r="AR73" i="40"/>
  <c r="AR17" i="40"/>
  <c r="AR26" i="40" s="1"/>
  <c r="AR44" i="40" s="1"/>
  <c r="AR63" i="40" s="1"/>
  <c r="AR64" i="40"/>
  <c r="M117" i="54"/>
  <c r="AU17" i="37"/>
  <c r="AV24" i="37" s="1"/>
  <c r="AV23" i="37" s="1"/>
  <c r="AT16" i="37"/>
  <c r="AT31" i="39" s="1"/>
  <c r="D187" i="54"/>
  <c r="F187" i="54"/>
  <c r="AL60" i="40"/>
  <c r="AM55" i="40"/>
  <c r="AM59" i="40" s="1"/>
  <c r="AM72" i="40" s="1"/>
  <c r="AM71" i="40" s="1"/>
  <c r="AM80" i="40" s="1"/>
  <c r="K5" i="15" s="1"/>
  <c r="AO49" i="40"/>
  <c r="AO52" i="40" s="1"/>
  <c r="AO51" i="40" s="1"/>
  <c r="AP9" i="36"/>
  <c r="AP45" i="40"/>
  <c r="I187" i="54"/>
  <c r="AQ39" i="36"/>
  <c r="AQ11" i="36" s="1"/>
  <c r="AQ40" i="36"/>
  <c r="AQ12" i="36" s="1"/>
  <c r="AQ48" i="40" s="1"/>
  <c r="AP52" i="39"/>
  <c r="AP51" i="39" s="1"/>
  <c r="AP47" i="39"/>
  <c r="AP42" i="39" s="1"/>
  <c r="AQ78" i="40"/>
  <c r="AQ66" i="39" s="1"/>
  <c r="AR27" i="36"/>
  <c r="BP20" i="37"/>
  <c r="AP57" i="39" l="1"/>
  <c r="AP67" i="39" s="1"/>
  <c r="AS57" i="37"/>
  <c r="AS56" i="37" s="1"/>
  <c r="AS32" i="39" s="1"/>
  <c r="AS28" i="39" s="1"/>
  <c r="AS36" i="39" s="1"/>
  <c r="N117" i="54"/>
  <c r="AQ34" i="39"/>
  <c r="AS64" i="40"/>
  <c r="AS21" i="40"/>
  <c r="AS17" i="40"/>
  <c r="AS26" i="40" s="1"/>
  <c r="AS44" i="40" s="1"/>
  <c r="AS63" i="40" s="1"/>
  <c r="AR56" i="37"/>
  <c r="AR32" i="39" s="1"/>
  <c r="AR28" i="39" s="1"/>
  <c r="AR15" i="39" s="1"/>
  <c r="AR65" i="40"/>
  <c r="AU16" i="37"/>
  <c r="AU31" i="39" s="1"/>
  <c r="AV17" i="37"/>
  <c r="AW24" i="37" s="1"/>
  <c r="AW23" i="37" s="1"/>
  <c r="L71" i="15"/>
  <c r="AM60" i="40"/>
  <c r="AO55" i="40"/>
  <c r="AO59" i="40" s="1"/>
  <c r="AO72" i="40" s="1"/>
  <c r="AO71" i="40" s="1"/>
  <c r="AO80" i="40" s="1"/>
  <c r="M5" i="15" s="1"/>
  <c r="AP49" i="40"/>
  <c r="AP52" i="40" s="1"/>
  <c r="AP51" i="40" s="1"/>
  <c r="AQ9" i="36"/>
  <c r="AQ47" i="40"/>
  <c r="AQ45" i="40" s="1"/>
  <c r="AR39" i="36"/>
  <c r="AR11" i="36" s="1"/>
  <c r="AR47" i="40" s="1"/>
  <c r="AR40" i="36"/>
  <c r="AR12" i="36" s="1"/>
  <c r="AR48" i="40" s="1"/>
  <c r="AR78" i="40"/>
  <c r="AQ52" i="39"/>
  <c r="AQ51" i="39" s="1"/>
  <c r="AQ47" i="39"/>
  <c r="AQ42" i="39" s="1"/>
  <c r="AQ57" i="39" s="1"/>
  <c r="AQ67" i="39" s="1"/>
  <c r="AS27" i="36"/>
  <c r="BP18" i="37"/>
  <c r="BQ25" i="37" s="1"/>
  <c r="BQ22" i="37" s="1"/>
  <c r="AT63" i="37" l="1"/>
  <c r="AT62" i="37" s="1"/>
  <c r="AT20" i="40" s="1"/>
  <c r="AT21" i="40" s="1"/>
  <c r="AS65" i="40"/>
  <c r="AS66" i="40" s="1"/>
  <c r="AR34" i="39"/>
  <c r="AR36" i="39"/>
  <c r="AR66" i="40"/>
  <c r="AR28" i="36"/>
  <c r="AR29" i="36" s="1"/>
  <c r="AR67" i="40"/>
  <c r="AS15" i="39"/>
  <c r="AT73" i="40"/>
  <c r="AT17" i="40"/>
  <c r="AT26" i="40" s="1"/>
  <c r="AT44" i="40" s="1"/>
  <c r="AT63" i="40" s="1"/>
  <c r="O117" i="54"/>
  <c r="AT64" i="40"/>
  <c r="AT57" i="37"/>
  <c r="AW17" i="37"/>
  <c r="AX24" i="37" s="1"/>
  <c r="AX23" i="37" s="1"/>
  <c r="AV16" i="37"/>
  <c r="AV31" i="39" s="1"/>
  <c r="H187" i="54"/>
  <c r="G187" i="54"/>
  <c r="AO60" i="40"/>
  <c r="AP55" i="40"/>
  <c r="AP59" i="40" s="1"/>
  <c r="AP60" i="40" s="1"/>
  <c r="AR45" i="40"/>
  <c r="AR9" i="36"/>
  <c r="AQ49" i="40"/>
  <c r="AQ52" i="40" s="1"/>
  <c r="AS39" i="36"/>
  <c r="AS11" i="36" s="1"/>
  <c r="AS40" i="36"/>
  <c r="AS12" i="36" s="1"/>
  <c r="AS48" i="40" s="1"/>
  <c r="AR66" i="39"/>
  <c r="AS78" i="40"/>
  <c r="AR52" i="39"/>
  <c r="AR51" i="39" s="1"/>
  <c r="AR47" i="39"/>
  <c r="AR42" i="39" s="1"/>
  <c r="AR57" i="39" s="1"/>
  <c r="AR67" i="39" s="1"/>
  <c r="AT27" i="36"/>
  <c r="BQ20" i="37"/>
  <c r="AS28" i="36" l="1"/>
  <c r="AS29" i="36" s="1"/>
  <c r="AS67" i="40"/>
  <c r="AS34" i="39"/>
  <c r="AT65" i="40"/>
  <c r="AT66" i="40" s="1"/>
  <c r="AT56" i="37"/>
  <c r="AT32" i="39" s="1"/>
  <c r="AT28" i="39" s="1"/>
  <c r="AU63" i="37"/>
  <c r="AU62" i="37" s="1"/>
  <c r="AU20" i="40" s="1"/>
  <c r="AX17" i="37"/>
  <c r="AY24" i="37" s="1"/>
  <c r="AY23" i="37" s="1"/>
  <c r="AW16" i="37"/>
  <c r="AW31" i="39" s="1"/>
  <c r="J187" i="54"/>
  <c r="M71" i="15"/>
  <c r="AP72" i="40"/>
  <c r="AP71" i="40" s="1"/>
  <c r="AP80" i="40" s="1"/>
  <c r="N5" i="15" s="1"/>
  <c r="AR49" i="40"/>
  <c r="AR52" i="40" s="1"/>
  <c r="AR51" i="40" s="1"/>
  <c r="AS9" i="36"/>
  <c r="AS47" i="40"/>
  <c r="AS45" i="40" s="1"/>
  <c r="AT39" i="36"/>
  <c r="AT11" i="36" s="1"/>
  <c r="AT47" i="40" s="1"/>
  <c r="AT40" i="36"/>
  <c r="AT12" i="36" s="1"/>
  <c r="AT48" i="40" s="1"/>
  <c r="AQ51" i="40"/>
  <c r="AQ55" i="40"/>
  <c r="AQ59" i="40" s="1"/>
  <c r="AS66" i="39"/>
  <c r="AS52" i="39"/>
  <c r="AS51" i="39" s="1"/>
  <c r="AS47" i="39"/>
  <c r="AS42" i="39" s="1"/>
  <c r="AS57" i="39" s="1"/>
  <c r="AS67" i="39" s="1"/>
  <c r="AT78" i="40"/>
  <c r="AU27" i="36"/>
  <c r="BQ18" i="37"/>
  <c r="BR25" i="37" s="1"/>
  <c r="BR22" i="37" s="1"/>
  <c r="AT67" i="40" l="1"/>
  <c r="AY17" i="37"/>
  <c r="AZ24" i="37" s="1"/>
  <c r="AZ23" i="37" s="1"/>
  <c r="AT28" i="36"/>
  <c r="AT29" i="36" s="1"/>
  <c r="AX16" i="37"/>
  <c r="AX31" i="39" s="1"/>
  <c r="P117" i="54"/>
  <c r="AU17" i="40"/>
  <c r="AU26" i="40" s="1"/>
  <c r="AU44" i="40" s="1"/>
  <c r="AU63" i="40" s="1"/>
  <c r="AU64" i="40"/>
  <c r="AU73" i="40"/>
  <c r="AU21" i="40"/>
  <c r="AU57" i="37"/>
  <c r="AT15" i="39"/>
  <c r="AT36" i="39"/>
  <c r="AR55" i="40"/>
  <c r="AR59" i="40" s="1"/>
  <c r="AR60" i="40" s="1"/>
  <c r="AS49" i="40"/>
  <c r="AS52" i="40" s="1"/>
  <c r="AS55" i="40" s="1"/>
  <c r="AS59" i="40" s="1"/>
  <c r="AT45" i="40"/>
  <c r="AT49" i="40" s="1"/>
  <c r="AT9" i="36"/>
  <c r="AU39" i="36"/>
  <c r="AU11" i="36" s="1"/>
  <c r="AU40" i="36"/>
  <c r="AU12" i="36" s="1"/>
  <c r="AU48" i="40" s="1"/>
  <c r="AQ60" i="40"/>
  <c r="AQ72" i="40"/>
  <c r="AQ71" i="40" s="1"/>
  <c r="AQ80" i="40" s="1"/>
  <c r="O5" i="15" s="1"/>
  <c r="AU78" i="40"/>
  <c r="AT66" i="39"/>
  <c r="AT47" i="39"/>
  <c r="AT42" i="39" s="1"/>
  <c r="AT52" i="39"/>
  <c r="AT51" i="39" s="1"/>
  <c r="AV27" i="36"/>
  <c r="BR20" i="37"/>
  <c r="AT57" i="39" l="1"/>
  <c r="AT67" i="39" s="1"/>
  <c r="AT34" i="39"/>
  <c r="AZ17" i="37"/>
  <c r="BA24" i="37" s="1"/>
  <c r="BA23" i="37" s="1"/>
  <c r="AY16" i="37"/>
  <c r="AY31" i="39" s="1"/>
  <c r="AU56" i="37"/>
  <c r="AU32" i="39" s="1"/>
  <c r="AU28" i="39" s="1"/>
  <c r="AV63" i="37"/>
  <c r="AV62" i="37" s="1"/>
  <c r="AV20" i="40" s="1"/>
  <c r="AU65" i="40"/>
  <c r="AR72" i="40"/>
  <c r="AR71" i="40" s="1"/>
  <c r="AR80" i="40" s="1"/>
  <c r="P5" i="15" s="1"/>
  <c r="P71" i="15" s="1"/>
  <c r="K187" i="54"/>
  <c r="AU9" i="36"/>
  <c r="AU47" i="40"/>
  <c r="AU45" i="40" s="1"/>
  <c r="AU66" i="39"/>
  <c r="AV39" i="36"/>
  <c r="AV11" i="36" s="1"/>
  <c r="AV47" i="40" s="1"/>
  <c r="AV40" i="36"/>
  <c r="AV12" i="36" s="1"/>
  <c r="AV48" i="40" s="1"/>
  <c r="AS60" i="40"/>
  <c r="AS72" i="40"/>
  <c r="AS71" i="40" s="1"/>
  <c r="AS80" i="40" s="1"/>
  <c r="Q5" i="15" s="1"/>
  <c r="AT52" i="40"/>
  <c r="AT55" i="40" s="1"/>
  <c r="AT59" i="40" s="1"/>
  <c r="AS51" i="40"/>
  <c r="O71" i="15"/>
  <c r="L187" i="54"/>
  <c r="AV78" i="40"/>
  <c r="AU47" i="39"/>
  <c r="AU42" i="39" s="1"/>
  <c r="AU52" i="39"/>
  <c r="AU51" i="39" s="1"/>
  <c r="AW27" i="36"/>
  <c r="BR18" i="37"/>
  <c r="BS25" i="37" s="1"/>
  <c r="BS22" i="37" s="1"/>
  <c r="AZ16" i="37" l="1"/>
  <c r="AZ31" i="39" s="1"/>
  <c r="BA17" i="37"/>
  <c r="BB24" i="37" s="1"/>
  <c r="BB23" i="37" s="1"/>
  <c r="AU66" i="40"/>
  <c r="AU28" i="36"/>
  <c r="AU29" i="36" s="1"/>
  <c r="AU67" i="40"/>
  <c r="AV73" i="40"/>
  <c r="AV66" i="39" s="1"/>
  <c r="AV64" i="40"/>
  <c r="AV17" i="40"/>
  <c r="AV26" i="40" s="1"/>
  <c r="AV44" i="40" s="1"/>
  <c r="AV63" i="40" s="1"/>
  <c r="Q117" i="54"/>
  <c r="AV21" i="40"/>
  <c r="AV57" i="37"/>
  <c r="AU36" i="39"/>
  <c r="AU15" i="39"/>
  <c r="M187" i="54"/>
  <c r="N71" i="15"/>
  <c r="AU49" i="40"/>
  <c r="AU52" i="40" s="1"/>
  <c r="AU55" i="40" s="1"/>
  <c r="AU59" i="40" s="1"/>
  <c r="P176" i="54" s="1"/>
  <c r="AV45" i="40"/>
  <c r="AV9" i="36"/>
  <c r="AW39" i="36"/>
  <c r="AW11" i="36" s="1"/>
  <c r="AW40" i="36"/>
  <c r="AW12" i="36" s="1"/>
  <c r="AW48" i="40" s="1"/>
  <c r="AT72" i="40"/>
  <c r="AT71" i="40" s="1"/>
  <c r="AT80" i="40" s="1"/>
  <c r="R5" i="15" s="1"/>
  <c r="AT60" i="40"/>
  <c r="AT51" i="40"/>
  <c r="AW78" i="40"/>
  <c r="AV47" i="39"/>
  <c r="AV42" i="39" s="1"/>
  <c r="AV52" i="39"/>
  <c r="AV51" i="39" s="1"/>
  <c r="AX27" i="36"/>
  <c r="BS20" i="37"/>
  <c r="BB17" i="37"/>
  <c r="BC24" i="37" s="1"/>
  <c r="BC23" i="37" s="1"/>
  <c r="BA16" i="37"/>
  <c r="BA31" i="39" s="1"/>
  <c r="AU57" i="39" l="1"/>
  <c r="AU67" i="39" s="1"/>
  <c r="AU34" i="39"/>
  <c r="AV49" i="40"/>
  <c r="AV52" i="40" s="1"/>
  <c r="AV51" i="40" s="1"/>
  <c r="AV65" i="40"/>
  <c r="AV56" i="37"/>
  <c r="AV32" i="39" s="1"/>
  <c r="AV28" i="39" s="1"/>
  <c r="AW63" i="37"/>
  <c r="AW62" i="37" s="1"/>
  <c r="AW20" i="40" s="1"/>
  <c r="Q71" i="15"/>
  <c r="N187" i="54"/>
  <c r="AW9" i="36"/>
  <c r="AW47" i="40"/>
  <c r="AW45" i="40" s="1"/>
  <c r="AX39" i="36"/>
  <c r="AX11" i="36" s="1"/>
  <c r="AX47" i="40" s="1"/>
  <c r="AX40" i="36"/>
  <c r="AX12" i="36" s="1"/>
  <c r="AX48" i="40" s="1"/>
  <c r="AU72" i="40"/>
  <c r="AU71" i="40" s="1"/>
  <c r="AU80" i="40" s="1"/>
  <c r="S5" i="15" s="1"/>
  <c r="AU60" i="40"/>
  <c r="AU51" i="40"/>
  <c r="AW52" i="39"/>
  <c r="AW51" i="39" s="1"/>
  <c r="AW47" i="39"/>
  <c r="AW42" i="39" s="1"/>
  <c r="AX78" i="40"/>
  <c r="AY27" i="36"/>
  <c r="BS18" i="37"/>
  <c r="BT25" i="37" s="1"/>
  <c r="BT22" i="37" s="1"/>
  <c r="BB16" i="37"/>
  <c r="BB31" i="39" s="1"/>
  <c r="BC17" i="37"/>
  <c r="BD24" i="37" s="1"/>
  <c r="BD23" i="37" s="1"/>
  <c r="AV55" i="40" l="1"/>
  <c r="AV59" i="40" s="1"/>
  <c r="AV72" i="40" s="1"/>
  <c r="AV71" i="40" s="1"/>
  <c r="AV80" i="40" s="1"/>
  <c r="T5" i="15" s="1"/>
  <c r="AW64" i="40"/>
  <c r="R117" i="54"/>
  <c r="AW17" i="40"/>
  <c r="AW26" i="40" s="1"/>
  <c r="AW44" i="40" s="1"/>
  <c r="AW63" i="40" s="1"/>
  <c r="AW73" i="40"/>
  <c r="AW66" i="39" s="1"/>
  <c r="AW21" i="40"/>
  <c r="AW57" i="37"/>
  <c r="AV36" i="39"/>
  <c r="AV15" i="39"/>
  <c r="AV66" i="40"/>
  <c r="AV28" i="36"/>
  <c r="AV29" i="36" s="1"/>
  <c r="AV67" i="40"/>
  <c r="O187" i="54"/>
  <c r="AX9" i="36"/>
  <c r="AY39" i="36"/>
  <c r="AY11" i="36" s="1"/>
  <c r="AY47" i="40" s="1"/>
  <c r="AY40" i="36"/>
  <c r="AY12" i="36" s="1"/>
  <c r="AY48" i="40" s="1"/>
  <c r="AX45" i="40"/>
  <c r="AY78" i="40"/>
  <c r="AX47" i="39"/>
  <c r="AX42" i="39" s="1"/>
  <c r="AX52" i="39"/>
  <c r="AX51" i="39" s="1"/>
  <c r="AZ27" i="36"/>
  <c r="BT20" i="37"/>
  <c r="BD17" i="37"/>
  <c r="BE24" i="37" s="1"/>
  <c r="BE23" i="37" s="1"/>
  <c r="BC16" i="37"/>
  <c r="BC31" i="39" s="1"/>
  <c r="AV60" i="40" l="1"/>
  <c r="AV57" i="39"/>
  <c r="AV67" i="39" s="1"/>
  <c r="AW65" i="40"/>
  <c r="AW28" i="36" s="1"/>
  <c r="AW29" i="36" s="1"/>
  <c r="AW49" i="40"/>
  <c r="AW52" i="40" s="1"/>
  <c r="AW51" i="40" s="1"/>
  <c r="AW56" i="37"/>
  <c r="AW32" i="39" s="1"/>
  <c r="AW28" i="39" s="1"/>
  <c r="AX63" i="37"/>
  <c r="AX62" i="37" s="1"/>
  <c r="AX20" i="40" s="1"/>
  <c r="AW66" i="40"/>
  <c r="AW67" i="40"/>
  <c r="AV34" i="39"/>
  <c r="P187" i="54"/>
  <c r="R71" i="15"/>
  <c r="AY45" i="40"/>
  <c r="AY9" i="36"/>
  <c r="AZ39" i="36"/>
  <c r="AZ11" i="36" s="1"/>
  <c r="AZ40" i="36"/>
  <c r="AZ12" i="36" s="1"/>
  <c r="AZ48" i="40" s="1"/>
  <c r="Q187" i="54"/>
  <c r="T71" i="15"/>
  <c r="AY52" i="39"/>
  <c r="AY51" i="39" s="1"/>
  <c r="AY47" i="39"/>
  <c r="AY42" i="39" s="1"/>
  <c r="AZ78" i="40"/>
  <c r="BA27" i="36"/>
  <c r="BT18" i="37"/>
  <c r="BU25" i="37" s="1"/>
  <c r="BU22" i="37" s="1"/>
  <c r="BD16" i="37"/>
  <c r="BD31" i="39" s="1"/>
  <c r="BE17" i="37"/>
  <c r="BF24" i="37" s="1"/>
  <c r="BF23" i="37" s="1"/>
  <c r="AW55" i="40" l="1"/>
  <c r="AW59" i="40" s="1"/>
  <c r="AW60" i="40" s="1"/>
  <c r="S117" i="54"/>
  <c r="AX73" i="40"/>
  <c r="AX66" i="39" s="1"/>
  <c r="AX17" i="40"/>
  <c r="AX26" i="40" s="1"/>
  <c r="AX44" i="40" s="1"/>
  <c r="AX64" i="40"/>
  <c r="AX21" i="40"/>
  <c r="AX57" i="37"/>
  <c r="AW36" i="39"/>
  <c r="AW15" i="39"/>
  <c r="S71" i="15"/>
  <c r="AZ9" i="36"/>
  <c r="AZ47" i="40"/>
  <c r="AZ45" i="40" s="1"/>
  <c r="BA39" i="36"/>
  <c r="BA11" i="36" s="1"/>
  <c r="BA47" i="40" s="1"/>
  <c r="BA40" i="36"/>
  <c r="BA12" i="36" s="1"/>
  <c r="BA48" i="40" s="1"/>
  <c r="AZ52" i="39"/>
  <c r="AZ51" i="39" s="1"/>
  <c r="AZ47" i="39"/>
  <c r="AZ42" i="39" s="1"/>
  <c r="BA78" i="40"/>
  <c r="BB27" i="36"/>
  <c r="BU20" i="37"/>
  <c r="BF17" i="37"/>
  <c r="BG24" i="37" s="1"/>
  <c r="BG23" i="37" s="1"/>
  <c r="BE16" i="37"/>
  <c r="BE31" i="39" s="1"/>
  <c r="AW72" i="40" l="1"/>
  <c r="AW71" i="40" s="1"/>
  <c r="AW80" i="40" s="1"/>
  <c r="U5" i="15" s="1"/>
  <c r="U71" i="15" s="1"/>
  <c r="AW57" i="39"/>
  <c r="AW67" i="39" s="1"/>
  <c r="AX63" i="40"/>
  <c r="AX65" i="40" s="1"/>
  <c r="AX49" i="40"/>
  <c r="AW34" i="39"/>
  <c r="AX56" i="37"/>
  <c r="AX32" i="39" s="1"/>
  <c r="AX28" i="39" s="1"/>
  <c r="AY63" i="37"/>
  <c r="AY62" i="37" s="1"/>
  <c r="AY20" i="40" s="1"/>
  <c r="R187" i="54"/>
  <c r="BA45" i="40"/>
  <c r="BB39" i="36"/>
  <c r="BB11" i="36" s="1"/>
  <c r="BB47" i="40" s="1"/>
  <c r="BB40" i="36"/>
  <c r="BB12" i="36" s="1"/>
  <c r="BB48" i="40" s="1"/>
  <c r="BA9" i="36"/>
  <c r="BA52" i="39"/>
  <c r="BA51" i="39" s="1"/>
  <c r="BA47" i="39"/>
  <c r="BA42" i="39" s="1"/>
  <c r="BB78" i="40"/>
  <c r="BC27" i="36"/>
  <c r="BU18" i="37"/>
  <c r="BV25" i="37" s="1"/>
  <c r="BV22" i="37" s="1"/>
  <c r="BG17" i="37"/>
  <c r="BH24" i="37" s="1"/>
  <c r="BH23" i="37" s="1"/>
  <c r="BF16" i="37"/>
  <c r="BF31" i="39" s="1"/>
  <c r="AX36" i="39" l="1"/>
  <c r="AX15" i="39"/>
  <c r="AX52" i="40"/>
  <c r="AX51" i="40" s="1"/>
  <c r="T117" i="54"/>
  <c r="AY17" i="40"/>
  <c r="AY26" i="40" s="1"/>
  <c r="AY44" i="40" s="1"/>
  <c r="AY73" i="40"/>
  <c r="AY66" i="39" s="1"/>
  <c r="AY64" i="40"/>
  <c r="AY21" i="40"/>
  <c r="AX66" i="40"/>
  <c r="AX28" i="36"/>
  <c r="AX29" i="36" s="1"/>
  <c r="AX67" i="40"/>
  <c r="AY57" i="37"/>
  <c r="BB9" i="36"/>
  <c r="BB45" i="40"/>
  <c r="BC39" i="36"/>
  <c r="BC11" i="36" s="1"/>
  <c r="BC47" i="40" s="1"/>
  <c r="BC40" i="36"/>
  <c r="BC12" i="36" s="1"/>
  <c r="BC48" i="40" s="1"/>
  <c r="BB47" i="39"/>
  <c r="BB42" i="39" s="1"/>
  <c r="BB52" i="39"/>
  <c r="BB51" i="39" s="1"/>
  <c r="BC78" i="40"/>
  <c r="BD27" i="36"/>
  <c r="BV20" i="37"/>
  <c r="BH17" i="37"/>
  <c r="BI24" i="37" s="1"/>
  <c r="BI23" i="37" s="1"/>
  <c r="BG16" i="37"/>
  <c r="BG31" i="39" s="1"/>
  <c r="AX57" i="39" l="1"/>
  <c r="AX67" i="39" s="1"/>
  <c r="AX55" i="40"/>
  <c r="AX59" i="40" s="1"/>
  <c r="AX60" i="40" s="1"/>
  <c r="AZ63" i="37"/>
  <c r="AZ62" i="37" s="1"/>
  <c r="AZ20" i="40" s="1"/>
  <c r="AY56" i="37"/>
  <c r="AY32" i="39" s="1"/>
  <c r="AY28" i="39" s="1"/>
  <c r="AY63" i="40"/>
  <c r="AY65" i="40" s="1"/>
  <c r="AY49" i="40"/>
  <c r="AY52" i="40" s="1"/>
  <c r="AX34" i="39"/>
  <c r="BC9" i="36"/>
  <c r="BC45" i="40"/>
  <c r="BD39" i="36"/>
  <c r="BD11" i="36" s="1"/>
  <c r="BD47" i="40" s="1"/>
  <c r="BD40" i="36"/>
  <c r="BD12" i="36" s="1"/>
  <c r="BD48" i="40" s="1"/>
  <c r="BC47" i="39"/>
  <c r="BC42" i="39" s="1"/>
  <c r="BC52" i="39"/>
  <c r="BC51" i="39" s="1"/>
  <c r="BD78" i="40"/>
  <c r="BE27" i="36"/>
  <c r="BV18" i="37"/>
  <c r="BW25" i="37" s="1"/>
  <c r="BW22" i="37" s="1"/>
  <c r="BH16" i="37"/>
  <c r="BH31" i="39" s="1"/>
  <c r="BI17" i="37"/>
  <c r="BJ24" i="37" s="1"/>
  <c r="BJ23" i="37" s="1"/>
  <c r="BJ20" i="40" s="1"/>
  <c r="AZ57" i="37" l="1"/>
  <c r="BA63" i="37" s="1"/>
  <c r="BA62" i="37" s="1"/>
  <c r="BA20" i="40" s="1"/>
  <c r="AX72" i="40"/>
  <c r="AX71" i="40" s="1"/>
  <c r="AX80" i="40" s="1"/>
  <c r="V5" i="15" s="1"/>
  <c r="V71" i="15" s="1"/>
  <c r="AZ64" i="40"/>
  <c r="AZ73" i="40"/>
  <c r="AZ66" i="39" s="1"/>
  <c r="U117" i="54"/>
  <c r="AZ17" i="40"/>
  <c r="AZ26" i="40" s="1"/>
  <c r="AZ44" i="40" s="1"/>
  <c r="AZ21" i="40"/>
  <c r="AY55" i="40"/>
  <c r="AY59" i="40" s="1"/>
  <c r="AY51" i="40"/>
  <c r="AY15" i="39"/>
  <c r="AY36" i="39"/>
  <c r="AY66" i="40"/>
  <c r="AY67" i="40"/>
  <c r="AY28" i="36"/>
  <c r="AY29" i="36" s="1"/>
  <c r="AE117" i="54"/>
  <c r="BD9" i="36"/>
  <c r="BE39" i="36"/>
  <c r="BE11" i="36" s="1"/>
  <c r="BE47" i="40" s="1"/>
  <c r="BE40" i="36"/>
  <c r="BE12" i="36" s="1"/>
  <c r="BE48" i="40" s="1"/>
  <c r="BD45" i="40"/>
  <c r="BD47" i="39"/>
  <c r="BD42" i="39" s="1"/>
  <c r="BD52" i="39"/>
  <c r="BD51" i="39" s="1"/>
  <c r="BE78" i="40"/>
  <c r="BF27" i="36"/>
  <c r="BJ64" i="40"/>
  <c r="BJ73" i="40"/>
  <c r="BJ17" i="40"/>
  <c r="BW20" i="37"/>
  <c r="BJ17" i="37"/>
  <c r="BK24" i="37" s="1"/>
  <c r="BK23" i="37" s="1"/>
  <c r="BK20" i="40" s="1"/>
  <c r="BI16" i="37"/>
  <c r="BI31" i="39" s="1"/>
  <c r="AY57" i="39" l="1"/>
  <c r="AY67" i="39" s="1"/>
  <c r="AZ56" i="37"/>
  <c r="AZ32" i="39" s="1"/>
  <c r="AZ28" i="39" s="1"/>
  <c r="AZ15" i="39" s="1"/>
  <c r="S187" i="54"/>
  <c r="AY34" i="39"/>
  <c r="AZ63" i="40"/>
  <c r="AZ65" i="40" s="1"/>
  <c r="AZ49" i="40"/>
  <c r="AZ52" i="40" s="1"/>
  <c r="AY72" i="40"/>
  <c r="AY71" i="40" s="1"/>
  <c r="AY80" i="40" s="1"/>
  <c r="W5" i="15" s="1"/>
  <c r="AY60" i="40"/>
  <c r="BA64" i="40"/>
  <c r="BA73" i="40"/>
  <c r="BA66" i="39" s="1"/>
  <c r="BA17" i="40"/>
  <c r="BA26" i="40" s="1"/>
  <c r="BA44" i="40" s="1"/>
  <c r="V117" i="54"/>
  <c r="BA21" i="40"/>
  <c r="BA57" i="37"/>
  <c r="AF117" i="54"/>
  <c r="BE45" i="40"/>
  <c r="BE9" i="36"/>
  <c r="BF39" i="36"/>
  <c r="BF11" i="36" s="1"/>
  <c r="BF47" i="40" s="1"/>
  <c r="BF40" i="36"/>
  <c r="BF12" i="36" s="1"/>
  <c r="BF48" i="40" s="1"/>
  <c r="BF78" i="40"/>
  <c r="BE52" i="39"/>
  <c r="BE51" i="39" s="1"/>
  <c r="BE47" i="39"/>
  <c r="BE42" i="39" s="1"/>
  <c r="BG27" i="36"/>
  <c r="BJ26" i="40"/>
  <c r="BJ44" i="40" s="1"/>
  <c r="BK64" i="40"/>
  <c r="BK73" i="40"/>
  <c r="BK17" i="40"/>
  <c r="BW18" i="37"/>
  <c r="BK17" i="37"/>
  <c r="BL24" i="37" s="1"/>
  <c r="BL23" i="37" s="1"/>
  <c r="BJ16" i="37"/>
  <c r="BJ31" i="39" s="1"/>
  <c r="AZ57" i="39" l="1"/>
  <c r="AZ67" i="39" s="1"/>
  <c r="AZ36" i="39"/>
  <c r="AZ34" i="39"/>
  <c r="T187" i="54"/>
  <c r="W71" i="15"/>
  <c r="AZ55" i="40"/>
  <c r="AZ59" i="40" s="1"/>
  <c r="AZ51" i="40"/>
  <c r="AZ66" i="40"/>
  <c r="AZ67" i="40"/>
  <c r="AZ28" i="36"/>
  <c r="AZ29" i="36" s="1"/>
  <c r="BA63" i="40"/>
  <c r="BA65" i="40" s="1"/>
  <c r="BA49" i="40"/>
  <c r="BA52" i="40" s="1"/>
  <c r="BA56" i="37"/>
  <c r="BA32" i="39" s="1"/>
  <c r="BA28" i="39" s="1"/>
  <c r="BB63" i="37"/>
  <c r="BB62" i="37" s="1"/>
  <c r="BB20" i="40" s="1"/>
  <c r="BF45" i="40"/>
  <c r="BF9" i="36"/>
  <c r="BG39" i="36"/>
  <c r="BG11" i="36" s="1"/>
  <c r="BG47" i="40" s="1"/>
  <c r="BG40" i="36"/>
  <c r="BG12" i="36" s="1"/>
  <c r="BG48" i="40" s="1"/>
  <c r="BG78" i="40"/>
  <c r="BF47" i="39"/>
  <c r="BF42" i="39" s="1"/>
  <c r="BF52" i="39"/>
  <c r="BF51" i="39" s="1"/>
  <c r="BH27" i="36"/>
  <c r="BL73" i="40"/>
  <c r="BL64" i="40"/>
  <c r="BL17" i="40"/>
  <c r="BK26" i="40"/>
  <c r="BK44" i="40" s="1"/>
  <c r="BJ63" i="40"/>
  <c r="BJ65" i="40" s="1"/>
  <c r="BJ66" i="40" s="1"/>
  <c r="BJ21" i="40"/>
  <c r="BL17" i="37"/>
  <c r="BM24" i="37" s="1"/>
  <c r="BM23" i="37" s="1"/>
  <c r="BK16" i="37"/>
  <c r="BK31" i="39" s="1"/>
  <c r="BA66" i="40" l="1"/>
  <c r="BA67" i="40"/>
  <c r="BA28" i="36"/>
  <c r="BA29" i="36" s="1"/>
  <c r="BB73" i="40"/>
  <c r="BB66" i="39" s="1"/>
  <c r="BB64" i="40"/>
  <c r="BB17" i="40"/>
  <c r="BB26" i="40" s="1"/>
  <c r="BB44" i="40" s="1"/>
  <c r="W117" i="54"/>
  <c r="BB21" i="40"/>
  <c r="BB57" i="37"/>
  <c r="BA36" i="39"/>
  <c r="BA15" i="39"/>
  <c r="AZ72" i="40"/>
  <c r="AZ71" i="40" s="1"/>
  <c r="AZ80" i="40" s="1"/>
  <c r="X5" i="15" s="1"/>
  <c r="AZ60" i="40"/>
  <c r="BA55" i="40"/>
  <c r="BA59" i="40" s="1"/>
  <c r="BA51" i="40"/>
  <c r="BG45" i="40"/>
  <c r="BG9" i="36"/>
  <c r="BH39" i="36"/>
  <c r="BH11" i="36" s="1"/>
  <c r="BH47" i="40" s="1"/>
  <c r="BH40" i="36"/>
  <c r="BH12" i="36" s="1"/>
  <c r="BH48" i="40" s="1"/>
  <c r="BG52" i="39"/>
  <c r="BG51" i="39" s="1"/>
  <c r="BG47" i="39"/>
  <c r="BG42" i="39" s="1"/>
  <c r="BH78" i="40"/>
  <c r="BI27" i="36"/>
  <c r="BK63" i="40"/>
  <c r="BK65" i="40" s="1"/>
  <c r="BK66" i="40" s="1"/>
  <c r="BL71" i="40"/>
  <c r="BL80" i="40" s="1"/>
  <c r="AJ5" i="15" s="1"/>
  <c r="BL66" i="39"/>
  <c r="BL26" i="40"/>
  <c r="BL44" i="40" s="1"/>
  <c r="BM64" i="40"/>
  <c r="BM73" i="40"/>
  <c r="BM17" i="40"/>
  <c r="BJ67" i="40"/>
  <c r="BJ28" i="36"/>
  <c r="BJ29" i="36" s="1"/>
  <c r="BK21" i="40"/>
  <c r="BL16" i="37"/>
  <c r="BL31" i="39" s="1"/>
  <c r="BM17" i="37"/>
  <c r="BN24" i="37" s="1"/>
  <c r="BN23" i="37" s="1"/>
  <c r="BA57" i="39" l="1"/>
  <c r="BA67" i="39" s="1"/>
  <c r="BA60" i="40"/>
  <c r="BA72" i="40"/>
  <c r="BA71" i="40" s="1"/>
  <c r="BA80" i="40" s="1"/>
  <c r="Y5" i="15" s="1"/>
  <c r="BB63" i="40"/>
  <c r="BB65" i="40" s="1"/>
  <c r="BB49" i="40"/>
  <c r="BB52" i="40" s="1"/>
  <c r="U187" i="54"/>
  <c r="X71" i="15"/>
  <c r="BA34" i="39"/>
  <c r="BB56" i="37"/>
  <c r="BB32" i="39" s="1"/>
  <c r="BB28" i="39" s="1"/>
  <c r="BC63" i="37"/>
  <c r="BC62" i="37" s="1"/>
  <c r="BC20" i="40" s="1"/>
  <c r="BH45" i="40"/>
  <c r="BH9" i="36"/>
  <c r="BI39" i="36"/>
  <c r="BI11" i="36" s="1"/>
  <c r="BI47" i="40" s="1"/>
  <c r="BI40" i="36"/>
  <c r="BI12" i="36" s="1"/>
  <c r="BI48" i="40" s="1"/>
  <c r="BH52" i="39"/>
  <c r="BH51" i="39" s="1"/>
  <c r="BH47" i="39"/>
  <c r="BH42" i="39" s="1"/>
  <c r="BI78" i="40"/>
  <c r="BJ27" i="36"/>
  <c r="BJ78" i="40" s="1"/>
  <c r="BJ66" i="39" s="1"/>
  <c r="BM71" i="40"/>
  <c r="BM80" i="40" s="1"/>
  <c r="AK5" i="15" s="1"/>
  <c r="BM66" i="39"/>
  <c r="BL49" i="40"/>
  <c r="BL63" i="40"/>
  <c r="BL65" i="40" s="1"/>
  <c r="BL66" i="40" s="1"/>
  <c r="AJ71" i="15"/>
  <c r="AG187" i="54"/>
  <c r="BN73" i="40"/>
  <c r="BN64" i="40"/>
  <c r="BN17" i="40"/>
  <c r="BM26" i="40"/>
  <c r="BM44" i="40" s="1"/>
  <c r="BK28" i="36"/>
  <c r="BK29" i="36" s="1"/>
  <c r="BK67" i="40"/>
  <c r="BL21" i="40"/>
  <c r="BN17" i="37"/>
  <c r="BO24" i="37" s="1"/>
  <c r="BO23" i="37" s="1"/>
  <c r="BM16" i="37"/>
  <c r="BM31" i="39" s="1"/>
  <c r="BC57" i="37" l="1"/>
  <c r="BB15" i="39"/>
  <c r="BB36" i="39"/>
  <c r="BB55" i="40"/>
  <c r="BB59" i="40" s="1"/>
  <c r="BB51" i="40"/>
  <c r="BC64" i="40"/>
  <c r="BC73" i="40"/>
  <c r="BC66" i="39" s="1"/>
  <c r="BC17" i="40"/>
  <c r="BC26" i="40" s="1"/>
  <c r="BC44" i="40" s="1"/>
  <c r="X117" i="54"/>
  <c r="BC21" i="40"/>
  <c r="BB66" i="40"/>
  <c r="BB28" i="36"/>
  <c r="BB29" i="36" s="1"/>
  <c r="BB67" i="40"/>
  <c r="V187" i="54"/>
  <c r="Y71" i="15"/>
  <c r="BI9" i="36"/>
  <c r="BI45" i="40"/>
  <c r="BJ39" i="36"/>
  <c r="BJ11" i="36" s="1"/>
  <c r="BJ40" i="36"/>
  <c r="BJ12" i="36" s="1"/>
  <c r="BJ48" i="40" s="1"/>
  <c r="BJ45" i="40" s="1"/>
  <c r="BJ49" i="40" s="1"/>
  <c r="BJ52" i="40" s="1"/>
  <c r="BI52" i="39"/>
  <c r="BI51" i="39" s="1"/>
  <c r="BI47" i="39"/>
  <c r="BI42" i="39" s="1"/>
  <c r="BK27" i="36"/>
  <c r="BK78" i="40" s="1"/>
  <c r="BK66" i="39" s="1"/>
  <c r="BN66" i="39"/>
  <c r="BN71" i="40"/>
  <c r="BN80" i="40" s="1"/>
  <c r="AL5" i="15" s="1"/>
  <c r="BO64" i="40"/>
  <c r="BO73" i="40"/>
  <c r="BO17" i="40"/>
  <c r="BN26" i="40"/>
  <c r="BN44" i="40" s="1"/>
  <c r="BL28" i="36"/>
  <c r="BL29" i="36" s="1"/>
  <c r="BL67" i="40"/>
  <c r="BL52" i="40"/>
  <c r="BL55" i="40" s="1"/>
  <c r="BM49" i="40"/>
  <c r="BM52" i="40" s="1"/>
  <c r="BM63" i="40"/>
  <c r="BM65" i="40" s="1"/>
  <c r="BM66" i="40" s="1"/>
  <c r="AK71" i="15"/>
  <c r="AH187" i="54"/>
  <c r="BM21" i="40"/>
  <c r="BO17" i="37"/>
  <c r="BP24" i="37" s="1"/>
  <c r="BP23" i="37" s="1"/>
  <c r="BN16" i="37"/>
  <c r="BN31" i="39" s="1"/>
  <c r="BB57" i="39" l="1"/>
  <c r="BB67" i="39" s="1"/>
  <c r="BB72" i="40"/>
  <c r="BB71" i="40" s="1"/>
  <c r="BB80" i="40" s="1"/>
  <c r="Z5" i="15" s="1"/>
  <c r="BB60" i="40"/>
  <c r="BB34" i="39"/>
  <c r="BC56" i="37"/>
  <c r="BC32" i="39" s="1"/>
  <c r="BC28" i="39" s="1"/>
  <c r="BD63" i="37"/>
  <c r="BD62" i="37" s="1"/>
  <c r="BD20" i="40" s="1"/>
  <c r="BC63" i="40"/>
  <c r="BC65" i="40" s="1"/>
  <c r="BC49" i="40"/>
  <c r="BJ55" i="40"/>
  <c r="BJ59" i="40" s="1"/>
  <c r="BJ51" i="40"/>
  <c r="BK39" i="36"/>
  <c r="BK11" i="36" s="1"/>
  <c r="BK40" i="36"/>
  <c r="BK12" i="36" s="1"/>
  <c r="BK48" i="40" s="1"/>
  <c r="BK45" i="40" s="1"/>
  <c r="BK49" i="40" s="1"/>
  <c r="BK52" i="40" s="1"/>
  <c r="BJ9" i="36"/>
  <c r="BJ47" i="39"/>
  <c r="BJ42" i="39" s="1"/>
  <c r="BJ52" i="39"/>
  <c r="BJ51" i="39" s="1"/>
  <c r="BL27" i="36"/>
  <c r="BO26" i="40"/>
  <c r="BO44" i="40" s="1"/>
  <c r="BP73" i="40"/>
  <c r="BP64" i="40"/>
  <c r="BP17" i="40"/>
  <c r="BL51" i="40"/>
  <c r="BO71" i="40"/>
  <c r="BO80" i="40" s="1"/>
  <c r="AM5" i="15" s="1"/>
  <c r="BO66" i="39"/>
  <c r="BM67" i="40"/>
  <c r="BM28" i="36"/>
  <c r="BM29" i="36" s="1"/>
  <c r="BN63" i="40"/>
  <c r="BN65" i="40" s="1"/>
  <c r="BN66" i="40" s="1"/>
  <c r="BN49" i="40"/>
  <c r="BN52" i="40" s="1"/>
  <c r="BM55" i="40"/>
  <c r="BM51" i="40"/>
  <c r="BN21" i="40"/>
  <c r="BP17" i="37"/>
  <c r="BQ24" i="37" s="1"/>
  <c r="BQ23" i="37" s="1"/>
  <c r="BO16" i="37"/>
  <c r="BO31" i="39" s="1"/>
  <c r="BC52" i="40" l="1"/>
  <c r="BC51" i="40" s="1"/>
  <c r="BC66" i="40"/>
  <c r="BC67" i="40"/>
  <c r="BC28" i="36"/>
  <c r="BC29" i="36" s="1"/>
  <c r="BD57" i="37"/>
  <c r="BD17" i="40"/>
  <c r="BD26" i="40" s="1"/>
  <c r="BD44" i="40" s="1"/>
  <c r="BD64" i="40"/>
  <c r="BD73" i="40"/>
  <c r="BD66" i="39" s="1"/>
  <c r="Y117" i="54"/>
  <c r="BD21" i="40"/>
  <c r="BC36" i="39"/>
  <c r="BC15" i="39"/>
  <c r="Z71" i="15"/>
  <c r="W187" i="54"/>
  <c r="AI187" i="54"/>
  <c r="BK55" i="40"/>
  <c r="BK59" i="40" s="1"/>
  <c r="BK51" i="40"/>
  <c r="BJ60" i="40"/>
  <c r="BJ72" i="40"/>
  <c r="BJ71" i="40" s="1"/>
  <c r="BJ80" i="40" s="1"/>
  <c r="AH5" i="15" s="1"/>
  <c r="BK9" i="36"/>
  <c r="BL39" i="36"/>
  <c r="BL11" i="36" s="1"/>
  <c r="BL40" i="36"/>
  <c r="BL12" i="36" s="1"/>
  <c r="BK47" i="39"/>
  <c r="BK42" i="39" s="1"/>
  <c r="BK52" i="39"/>
  <c r="BK51" i="39" s="1"/>
  <c r="BM27" i="36"/>
  <c r="BQ64" i="40"/>
  <c r="BQ73" i="40"/>
  <c r="BQ17" i="40"/>
  <c r="BP26" i="40"/>
  <c r="BP44" i="40" s="1"/>
  <c r="BP66" i="39"/>
  <c r="BP71" i="40"/>
  <c r="BP80" i="40" s="1"/>
  <c r="AN5" i="15" s="1"/>
  <c r="BN55" i="40"/>
  <c r="BN51" i="40"/>
  <c r="BN28" i="36"/>
  <c r="BN29" i="36" s="1"/>
  <c r="BN67" i="40"/>
  <c r="BO63" i="40"/>
  <c r="BO65" i="40" s="1"/>
  <c r="BO66" i="40" s="1"/>
  <c r="BO49" i="40"/>
  <c r="AM71" i="15"/>
  <c r="AJ187" i="54"/>
  <c r="BO21" i="40"/>
  <c r="BQ17" i="37"/>
  <c r="BR24" i="37" s="1"/>
  <c r="BR23" i="37" s="1"/>
  <c r="BP16" i="37"/>
  <c r="BP31" i="39" s="1"/>
  <c r="BC57" i="39" l="1"/>
  <c r="BC67" i="39" s="1"/>
  <c r="BC55" i="40"/>
  <c r="BC59" i="40" s="1"/>
  <c r="BC60" i="40" s="1"/>
  <c r="BC34" i="39"/>
  <c r="BC72" i="40"/>
  <c r="BC71" i="40" s="1"/>
  <c r="BC80" i="40" s="1"/>
  <c r="AA5" i="15" s="1"/>
  <c r="BD56" i="37"/>
  <c r="BD32" i="39" s="1"/>
  <c r="BD28" i="39" s="1"/>
  <c r="BE63" i="37"/>
  <c r="BE62" i="37" s="1"/>
  <c r="BE20" i="40" s="1"/>
  <c r="BD63" i="40"/>
  <c r="BD65" i="40" s="1"/>
  <c r="BD49" i="40"/>
  <c r="AL71" i="15"/>
  <c r="BK60" i="40"/>
  <c r="BK72" i="40"/>
  <c r="BK71" i="40" s="1"/>
  <c r="BK80" i="40" s="1"/>
  <c r="AI5" i="15" s="1"/>
  <c r="BM39" i="36"/>
  <c r="BM11" i="36" s="1"/>
  <c r="BM40" i="36"/>
  <c r="BM12" i="36" s="1"/>
  <c r="BL9" i="36"/>
  <c r="BL47" i="39"/>
  <c r="BL42" i="39" s="1"/>
  <c r="BL52" i="39"/>
  <c r="BL51" i="39" s="1"/>
  <c r="BN27" i="36"/>
  <c r="BP49" i="40"/>
  <c r="BP52" i="40" s="1"/>
  <c r="BP63" i="40"/>
  <c r="BP65" i="40" s="1"/>
  <c r="BP66" i="40" s="1"/>
  <c r="BR73" i="40"/>
  <c r="BR64" i="40"/>
  <c r="BR17" i="40"/>
  <c r="BQ26" i="40"/>
  <c r="BQ44" i="40" s="1"/>
  <c r="BO52" i="40"/>
  <c r="BO55" i="40" s="1"/>
  <c r="BO67" i="40"/>
  <c r="BO28" i="36"/>
  <c r="BO29" i="36" s="1"/>
  <c r="BQ71" i="40"/>
  <c r="BQ80" i="40" s="1"/>
  <c r="AO5" i="15" s="1"/>
  <c r="BQ66" i="39"/>
  <c r="BP21" i="40"/>
  <c r="BR17" i="37"/>
  <c r="BS24" i="37" s="1"/>
  <c r="BS23" i="37" s="1"/>
  <c r="BQ16" i="37"/>
  <c r="BQ31" i="39" s="1"/>
  <c r="BE57" i="37" l="1"/>
  <c r="BE56" i="37" s="1"/>
  <c r="BE32" i="39" s="1"/>
  <c r="BE28" i="39" s="1"/>
  <c r="BE64" i="40"/>
  <c r="Z117" i="54"/>
  <c r="BE73" i="40"/>
  <c r="BE66" i="39" s="1"/>
  <c r="BE17" i="40"/>
  <c r="BE26" i="40" s="1"/>
  <c r="BE44" i="40" s="1"/>
  <c r="BE21" i="40"/>
  <c r="BD36" i="39"/>
  <c r="BD15" i="39"/>
  <c r="X187" i="54"/>
  <c r="AA71" i="15"/>
  <c r="BD66" i="40"/>
  <c r="BD67" i="40"/>
  <c r="BD28" i="36"/>
  <c r="BD29" i="36" s="1"/>
  <c r="BD52" i="40"/>
  <c r="BD51" i="40" s="1"/>
  <c r="AK187" i="54"/>
  <c r="AE187" i="54"/>
  <c r="AH71" i="15"/>
  <c r="BN39" i="36"/>
  <c r="BN11" i="36" s="1"/>
  <c r="BN40" i="36"/>
  <c r="BN12" i="36" s="1"/>
  <c r="BM9" i="36"/>
  <c r="BM52" i="39"/>
  <c r="BM51" i="39" s="1"/>
  <c r="BM47" i="39"/>
  <c r="BM42" i="39" s="1"/>
  <c r="BO27" i="36"/>
  <c r="BR26" i="40"/>
  <c r="BR44" i="40" s="1"/>
  <c r="BR66" i="39"/>
  <c r="BR71" i="40"/>
  <c r="BR80" i="40" s="1"/>
  <c r="AP5" i="15" s="1"/>
  <c r="BS64" i="40"/>
  <c r="BS73" i="40"/>
  <c r="BS17" i="40"/>
  <c r="BO51" i="40"/>
  <c r="BP67" i="40"/>
  <c r="BP28" i="36"/>
  <c r="BP29" i="36" s="1"/>
  <c r="BQ49" i="40"/>
  <c r="BQ52" i="40" s="1"/>
  <c r="BQ63" i="40"/>
  <c r="BQ65" i="40" s="1"/>
  <c r="BQ66" i="40" s="1"/>
  <c r="BP55" i="40"/>
  <c r="BP51" i="40"/>
  <c r="BQ21" i="40"/>
  <c r="BS17" i="37"/>
  <c r="BT24" i="37" s="1"/>
  <c r="BT23" i="37" s="1"/>
  <c r="BR16" i="37"/>
  <c r="BR31" i="39" s="1"/>
  <c r="BD57" i="39" l="1"/>
  <c r="BD67" i="39" s="1"/>
  <c r="BF63" i="37"/>
  <c r="BF62" i="37" s="1"/>
  <c r="BF20" i="40" s="1"/>
  <c r="BF17" i="40" s="1"/>
  <c r="BF26" i="40" s="1"/>
  <c r="BF44" i="40" s="1"/>
  <c r="BD55" i="40"/>
  <c r="BD59" i="40" s="1"/>
  <c r="BD60" i="40" s="1"/>
  <c r="BF57" i="37"/>
  <c r="BF56" i="37" s="1"/>
  <c r="BF32" i="39" s="1"/>
  <c r="BF28" i="39" s="1"/>
  <c r="BE63" i="40"/>
  <c r="BE65" i="40" s="1"/>
  <c r="BE49" i="40"/>
  <c r="BE36" i="39"/>
  <c r="BE15" i="39"/>
  <c r="BD34" i="39"/>
  <c r="AL187" i="54"/>
  <c r="AI71" i="15"/>
  <c r="AN71" i="15"/>
  <c r="AF187" i="54"/>
  <c r="BO39" i="36"/>
  <c r="BO11" i="36" s="1"/>
  <c r="BO40" i="36"/>
  <c r="BO12" i="36" s="1"/>
  <c r="BN9" i="36"/>
  <c r="BN47" i="39"/>
  <c r="BN42" i="39" s="1"/>
  <c r="BN52" i="39"/>
  <c r="BN51" i="39" s="1"/>
  <c r="BP27" i="36"/>
  <c r="BQ55" i="40"/>
  <c r="BQ51" i="40"/>
  <c r="AP71" i="15"/>
  <c r="AM187" i="54"/>
  <c r="BT73" i="40"/>
  <c r="BT64" i="40"/>
  <c r="BT17" i="40"/>
  <c r="BS26" i="40"/>
  <c r="BS44" i="40" s="1"/>
  <c r="BR49" i="40"/>
  <c r="BR63" i="40"/>
  <c r="BR65" i="40" s="1"/>
  <c r="BR66" i="40" s="1"/>
  <c r="BQ67" i="40"/>
  <c r="BQ28" i="36"/>
  <c r="BQ29" i="36" s="1"/>
  <c r="BS71" i="40"/>
  <c r="BS80" i="40" s="1"/>
  <c r="AQ5" i="15" s="1"/>
  <c r="BS66" i="39"/>
  <c r="BR21" i="40"/>
  <c r="BT17" i="37"/>
  <c r="BU24" i="37" s="1"/>
  <c r="BU23" i="37" s="1"/>
  <c r="BS16" i="37"/>
  <c r="BS31" i="39" s="1"/>
  <c r="BD72" i="40" l="1"/>
  <c r="BD71" i="40" s="1"/>
  <c r="BD80" i="40" s="1"/>
  <c r="AB5" i="15" s="1"/>
  <c r="BF64" i="40"/>
  <c r="AA117" i="54"/>
  <c r="BF73" i="40"/>
  <c r="BF66" i="39" s="1"/>
  <c r="BF21" i="40"/>
  <c r="BE57" i="39"/>
  <c r="BE67" i="39" s="1"/>
  <c r="BG63" i="37"/>
  <c r="BG62" i="37" s="1"/>
  <c r="BG20" i="40" s="1"/>
  <c r="BG64" i="40" s="1"/>
  <c r="BF63" i="40"/>
  <c r="BF65" i="40" s="1"/>
  <c r="BF49" i="40"/>
  <c r="Y187" i="54"/>
  <c r="AB71" i="15"/>
  <c r="BE34" i="39"/>
  <c r="BE52" i="40"/>
  <c r="BE51" i="40" s="1"/>
  <c r="BE66" i="40"/>
  <c r="BE67" i="40"/>
  <c r="BE28" i="36"/>
  <c r="BE29" i="36" s="1"/>
  <c r="BF15" i="39"/>
  <c r="BF36" i="39"/>
  <c r="AO71" i="15"/>
  <c r="BP39" i="36"/>
  <c r="BP11" i="36" s="1"/>
  <c r="BP40" i="36"/>
  <c r="BP12" i="36" s="1"/>
  <c r="BO9" i="36"/>
  <c r="BO52" i="39"/>
  <c r="BO51" i="39" s="1"/>
  <c r="BO47" i="39"/>
  <c r="BO42" i="39" s="1"/>
  <c r="BQ27" i="36"/>
  <c r="BR28" i="36"/>
  <c r="BR29" i="36" s="1"/>
  <c r="BR67" i="40"/>
  <c r="BT26" i="40"/>
  <c r="BT44" i="40" s="1"/>
  <c r="BR52" i="40"/>
  <c r="BR55" i="40" s="1"/>
  <c r="BS63" i="40"/>
  <c r="BS65" i="40" s="1"/>
  <c r="BS66" i="40" s="1"/>
  <c r="BS49" i="40"/>
  <c r="BS52" i="40" s="1"/>
  <c r="BT71" i="40"/>
  <c r="BT80" i="40" s="1"/>
  <c r="AR5" i="15" s="1"/>
  <c r="BT66" i="39"/>
  <c r="BU73" i="40"/>
  <c r="BU64" i="40"/>
  <c r="BU17" i="40"/>
  <c r="BS21" i="40"/>
  <c r="BT16" i="37"/>
  <c r="BT31" i="39" s="1"/>
  <c r="BU17" i="37"/>
  <c r="BV24" i="37" s="1"/>
  <c r="BV23" i="37" s="1"/>
  <c r="BF57" i="39" l="1"/>
  <c r="BF67" i="39" s="1"/>
  <c r="BG57" i="37"/>
  <c r="BG56" i="37" s="1"/>
  <c r="BG32" i="39" s="1"/>
  <c r="BG28" i="39" s="1"/>
  <c r="BG17" i="40"/>
  <c r="BG26" i="40" s="1"/>
  <c r="BG44" i="40" s="1"/>
  <c r="BG49" i="40" s="1"/>
  <c r="AB117" i="54"/>
  <c r="BG21" i="40"/>
  <c r="BG73" i="40"/>
  <c r="BG66" i="39" s="1"/>
  <c r="BE55" i="40"/>
  <c r="BE59" i="40" s="1"/>
  <c r="BE72" i="40" s="1"/>
  <c r="BE71" i="40" s="1"/>
  <c r="BE80" i="40" s="1"/>
  <c r="AC5" i="15" s="1"/>
  <c r="BF34" i="39"/>
  <c r="BF52" i="40"/>
  <c r="BF51" i="40" s="1"/>
  <c r="BF66" i="40"/>
  <c r="BF28" i="36"/>
  <c r="BF29" i="36" s="1"/>
  <c r="BF67" i="40"/>
  <c r="BG63" i="40"/>
  <c r="BG65" i="40" s="1"/>
  <c r="AN187" i="54"/>
  <c r="BQ39" i="36"/>
  <c r="BQ11" i="36" s="1"/>
  <c r="BQ40" i="36"/>
  <c r="BQ12" i="36" s="1"/>
  <c r="BP9" i="36"/>
  <c r="BP52" i="39"/>
  <c r="BP51" i="39" s="1"/>
  <c r="BP47" i="39"/>
  <c r="BP42" i="39" s="1"/>
  <c r="BR27" i="36"/>
  <c r="BU66" i="39"/>
  <c r="BU71" i="40"/>
  <c r="BU80" i="40" s="1"/>
  <c r="AS5" i="15" s="1"/>
  <c r="AO187" i="54"/>
  <c r="AR71" i="15"/>
  <c r="BU26" i="40"/>
  <c r="BU44" i="40" s="1"/>
  <c r="BR51" i="40"/>
  <c r="BT49" i="40"/>
  <c r="BT63" i="40"/>
  <c r="BT65" i="40" s="1"/>
  <c r="BT66" i="40" s="1"/>
  <c r="BV64" i="40"/>
  <c r="BV73" i="40"/>
  <c r="BV17" i="40"/>
  <c r="BS55" i="40"/>
  <c r="BS51" i="40"/>
  <c r="BS67" i="40"/>
  <c r="BS28" i="36"/>
  <c r="BS29" i="36" s="1"/>
  <c r="BT21" i="40"/>
  <c r="BV17" i="37"/>
  <c r="BW24" i="37" s="1"/>
  <c r="BW23" i="37" s="1"/>
  <c r="BU16" i="37"/>
  <c r="BU31" i="39" s="1"/>
  <c r="BH63" i="37" l="1"/>
  <c r="BH62" i="37" s="1"/>
  <c r="BH20" i="40" s="1"/>
  <c r="AC117" i="54" s="1"/>
  <c r="BE60" i="40"/>
  <c r="BH57" i="37"/>
  <c r="BI63" i="37" s="1"/>
  <c r="BI62" i="37" s="1"/>
  <c r="BI20" i="40" s="1"/>
  <c r="BF55" i="40"/>
  <c r="BF59" i="40" s="1"/>
  <c r="BF72" i="40" s="1"/>
  <c r="BF71" i="40" s="1"/>
  <c r="BF80" i="40" s="1"/>
  <c r="AD5" i="15" s="1"/>
  <c r="BG66" i="40"/>
  <c r="BG28" i="36"/>
  <c r="BG29" i="36" s="1"/>
  <c r="BG67" i="40"/>
  <c r="BH56" i="37"/>
  <c r="BH32" i="39" s="1"/>
  <c r="BH28" i="39" s="1"/>
  <c r="BH73" i="40"/>
  <c r="BH66" i="39" s="1"/>
  <c r="BH64" i="40"/>
  <c r="BH17" i="40"/>
  <c r="BH26" i="40" s="1"/>
  <c r="BH44" i="40" s="1"/>
  <c r="BH21" i="40"/>
  <c r="BG15" i="39"/>
  <c r="BG36" i="39"/>
  <c r="Z187" i="54"/>
  <c r="AC71" i="15"/>
  <c r="BG52" i="40"/>
  <c r="BG51" i="40" s="1"/>
  <c r="AQ71" i="15"/>
  <c r="BR39" i="36"/>
  <c r="BR11" i="36" s="1"/>
  <c r="BR40" i="36"/>
  <c r="BR12" i="36" s="1"/>
  <c r="BQ9" i="36"/>
  <c r="BQ52" i="39"/>
  <c r="BQ51" i="39" s="1"/>
  <c r="BQ47" i="39"/>
  <c r="BQ42" i="39" s="1"/>
  <c r="BS27" i="36"/>
  <c r="BW64" i="40"/>
  <c r="BW73" i="40"/>
  <c r="BW17" i="40"/>
  <c r="BW26" i="40" s="1"/>
  <c r="BW44" i="40" s="1"/>
  <c r="BV66" i="39"/>
  <c r="BV71" i="40"/>
  <c r="BV80" i="40" s="1"/>
  <c r="AT5" i="15" s="1"/>
  <c r="BT67" i="40"/>
  <c r="BT28" i="36"/>
  <c r="BT29" i="36" s="1"/>
  <c r="BV26" i="40"/>
  <c r="BV44" i="40" s="1"/>
  <c r="BT52" i="40"/>
  <c r="BT55" i="40" s="1"/>
  <c r="BU63" i="40"/>
  <c r="BU65" i="40" s="1"/>
  <c r="BU66" i="40" s="1"/>
  <c r="BU49" i="40"/>
  <c r="BU21" i="40"/>
  <c r="BW17" i="37"/>
  <c r="BW16" i="37" s="1"/>
  <c r="BW31" i="39" s="1"/>
  <c r="BV16" i="37"/>
  <c r="BV31" i="39" s="1"/>
  <c r="BG57" i="39" l="1"/>
  <c r="BG67" i="39" s="1"/>
  <c r="BF60" i="40"/>
  <c r="BI57" i="37"/>
  <c r="BI56" i="37" s="1"/>
  <c r="BI32" i="39" s="1"/>
  <c r="BI28" i="39" s="1"/>
  <c r="BG55" i="40"/>
  <c r="BG59" i="40" s="1"/>
  <c r="BJ63" i="37"/>
  <c r="BJ62" i="37" s="1"/>
  <c r="BI64" i="40"/>
  <c r="BI17" i="40"/>
  <c r="BI26" i="40" s="1"/>
  <c r="BI44" i="40" s="1"/>
  <c r="AD117" i="54"/>
  <c r="BI73" i="40"/>
  <c r="BI66" i="39" s="1"/>
  <c r="BI21" i="40"/>
  <c r="BG34" i="39"/>
  <c r="BH36" i="39"/>
  <c r="BH15" i="39"/>
  <c r="AA187" i="54"/>
  <c r="AD71" i="15"/>
  <c r="BH63" i="40"/>
  <c r="BH65" i="40" s="1"/>
  <c r="BH49" i="40"/>
  <c r="AP187" i="54"/>
  <c r="AQ187" i="54"/>
  <c r="BS39" i="36"/>
  <c r="BS11" i="36" s="1"/>
  <c r="BS40" i="36"/>
  <c r="BS12" i="36" s="1"/>
  <c r="BR9" i="36"/>
  <c r="BR47" i="39"/>
  <c r="BR42" i="39" s="1"/>
  <c r="BR52" i="39"/>
  <c r="BR51" i="39" s="1"/>
  <c r="BT27" i="36"/>
  <c r="BT51" i="40"/>
  <c r="BW49" i="40"/>
  <c r="BW63" i="40"/>
  <c r="BW65" i="40" s="1"/>
  <c r="BW66" i="40" s="1"/>
  <c r="BU52" i="40"/>
  <c r="BU55" i="40" s="1"/>
  <c r="BV49" i="40"/>
  <c r="BV63" i="40"/>
  <c r="BV65" i="40" s="1"/>
  <c r="BV66" i="40" s="1"/>
  <c r="BW71" i="40"/>
  <c r="BW80" i="40" s="1"/>
  <c r="AU5" i="15" s="1"/>
  <c r="BW66" i="39"/>
  <c r="BU67" i="40"/>
  <c r="BU28" i="36"/>
  <c r="BU29" i="36" s="1"/>
  <c r="BV21" i="40"/>
  <c r="BW21" i="40"/>
  <c r="BH57" i="39" l="1"/>
  <c r="BH67" i="39" s="1"/>
  <c r="BJ57" i="37"/>
  <c r="BJ56" i="37" s="1"/>
  <c r="BJ32" i="39" s="1"/>
  <c r="BJ28" i="39" s="1"/>
  <c r="BH34" i="39"/>
  <c r="BI63" i="40"/>
  <c r="BI65" i="40" s="1"/>
  <c r="BI49" i="40"/>
  <c r="BI52" i="40" s="1"/>
  <c r="BH66" i="40"/>
  <c r="BH28" i="36"/>
  <c r="BH29" i="36" s="1"/>
  <c r="BH67" i="40"/>
  <c r="BI36" i="39"/>
  <c r="BI15" i="39"/>
  <c r="BH52" i="40"/>
  <c r="BH51" i="40" s="1"/>
  <c r="BG72" i="40"/>
  <c r="BG71" i="40" s="1"/>
  <c r="BG80" i="40" s="1"/>
  <c r="AE5" i="15" s="1"/>
  <c r="BG60" i="40"/>
  <c r="AT71" i="15"/>
  <c r="AS71" i="15"/>
  <c r="BT39" i="36"/>
  <c r="BT11" i="36" s="1"/>
  <c r="BT40" i="36"/>
  <c r="BT12" i="36" s="1"/>
  <c r="BS9" i="36"/>
  <c r="BS47" i="39"/>
  <c r="BS42" i="39" s="1"/>
  <c r="BS52" i="39"/>
  <c r="BS51" i="39" s="1"/>
  <c r="BU27" i="36"/>
  <c r="BU51" i="40"/>
  <c r="BW67" i="40"/>
  <c r="BW28" i="36"/>
  <c r="BW29" i="36" s="1"/>
  <c r="BW52" i="40"/>
  <c r="BW51" i="40" s="1"/>
  <c r="BV67" i="40"/>
  <c r="BV28" i="36"/>
  <c r="BV29" i="36" s="1"/>
  <c r="BV52" i="40"/>
  <c r="BV55" i="40" s="1"/>
  <c r="BI57" i="39" l="1"/>
  <c r="BI67" i="39" s="1"/>
  <c r="BK63" i="37"/>
  <c r="BK62" i="37" s="1"/>
  <c r="BI34" i="39"/>
  <c r="BI55" i="40"/>
  <c r="BI59" i="40" s="1"/>
  <c r="BI51" i="40"/>
  <c r="BI66" i="40"/>
  <c r="BI67" i="40"/>
  <c r="BI28" i="36"/>
  <c r="BI29" i="36" s="1"/>
  <c r="AE71" i="15"/>
  <c r="AB187" i="54"/>
  <c r="BJ36" i="39"/>
  <c r="BJ15" i="39"/>
  <c r="BH55" i="40"/>
  <c r="BH59" i="40" s="1"/>
  <c r="AU71" i="15"/>
  <c r="BU39" i="36"/>
  <c r="BU11" i="36" s="1"/>
  <c r="BU40" i="36"/>
  <c r="BU12" i="36" s="1"/>
  <c r="BT9" i="36"/>
  <c r="BT47" i="39"/>
  <c r="BT42" i="39" s="1"/>
  <c r="BT52" i="39"/>
  <c r="BT51" i="39" s="1"/>
  <c r="BV27" i="36"/>
  <c r="BW55" i="40"/>
  <c r="BV51" i="40"/>
  <c r="BJ57" i="39" l="1"/>
  <c r="BJ67" i="39" s="1"/>
  <c r="BK57" i="37"/>
  <c r="BK56" i="37" s="1"/>
  <c r="BK32" i="39" s="1"/>
  <c r="BK28" i="39" s="1"/>
  <c r="BH60" i="40"/>
  <c r="BH72" i="40"/>
  <c r="BH71" i="40" s="1"/>
  <c r="BH80" i="40" s="1"/>
  <c r="AF5" i="15" s="1"/>
  <c r="BJ34" i="39"/>
  <c r="BI72" i="40"/>
  <c r="BI71" i="40" s="1"/>
  <c r="BI80" i="40" s="1"/>
  <c r="AG5" i="15" s="1"/>
  <c r="BI60" i="40"/>
  <c r="BW27" i="36"/>
  <c r="BV39" i="36"/>
  <c r="BV11" i="36" s="1"/>
  <c r="BV40" i="36"/>
  <c r="BV12" i="36" s="1"/>
  <c r="BU9" i="36"/>
  <c r="BU52" i="39"/>
  <c r="BU51" i="39" s="1"/>
  <c r="BU47" i="39"/>
  <c r="BU42" i="39" s="1"/>
  <c r="BW52" i="39"/>
  <c r="BW51" i="39" s="1"/>
  <c r="BW47" i="39"/>
  <c r="BW42" i="39" s="1"/>
  <c r="BL63" i="37" l="1"/>
  <c r="BL62" i="37" s="1"/>
  <c r="BK36" i="39"/>
  <c r="BK15" i="39"/>
  <c r="AF71" i="15"/>
  <c r="AC187" i="54"/>
  <c r="AD187" i="54"/>
  <c r="AG71" i="15"/>
  <c r="BW39" i="36"/>
  <c r="BW11" i="36" s="1"/>
  <c r="BW40" i="36"/>
  <c r="BW12" i="36" s="1"/>
  <c r="BV9" i="36"/>
  <c r="BV47" i="39"/>
  <c r="BV42" i="39" s="1"/>
  <c r="BV52" i="39"/>
  <c r="BV51" i="39" s="1"/>
  <c r="BL57" i="37" l="1"/>
  <c r="BL56" i="37" s="1"/>
  <c r="BL32" i="39" s="1"/>
  <c r="BL28" i="39" s="1"/>
  <c r="BL36" i="39" s="1"/>
  <c r="BK57" i="39"/>
  <c r="BK67" i="39" s="1"/>
  <c r="BM63" i="37"/>
  <c r="BM62" i="37" s="1"/>
  <c r="BK34" i="39"/>
  <c r="BL15" i="39"/>
  <c r="BW9" i="36"/>
  <c r="BL57" i="39" l="1"/>
  <c r="BL67" i="39" s="1"/>
  <c r="BM57" i="37"/>
  <c r="BM56" i="37" s="1"/>
  <c r="BM32" i="39" s="1"/>
  <c r="BM28" i="39" s="1"/>
  <c r="BM36" i="39" s="1"/>
  <c r="BL34" i="39"/>
  <c r="BM15" i="39" l="1"/>
  <c r="BN63" i="37"/>
  <c r="BN62" i="37" s="1"/>
  <c r="BM57" i="39" l="1"/>
  <c r="BM67" i="39" s="1"/>
  <c r="BM34" i="39"/>
  <c r="BN57" i="37"/>
  <c r="BN56" i="37" l="1"/>
  <c r="BN32" i="39" s="1"/>
  <c r="BN28" i="39" s="1"/>
  <c r="BO63" i="37"/>
  <c r="BO62" i="37" s="1"/>
  <c r="AG31" i="36" l="1"/>
  <c r="E16" i="15" s="1"/>
  <c r="E14" i="15" s="1"/>
  <c r="E12" i="15" s="1"/>
  <c r="E18" i="15" s="1"/>
  <c r="AG41" i="39"/>
  <c r="BN36" i="39"/>
  <c r="BN15" i="39"/>
  <c r="BO57" i="37"/>
  <c r="AS112" i="54"/>
  <c r="Q179" i="54"/>
  <c r="Z179" i="54"/>
  <c r="AH179" i="54"/>
  <c r="AM179" i="54"/>
  <c r="AC179" i="54"/>
  <c r="AF179" i="54"/>
  <c r="AG179" i="54"/>
  <c r="G179" i="54"/>
  <c r="P179" i="54"/>
  <c r="N179" i="54"/>
  <c r="AL179" i="54"/>
  <c r="I179" i="54"/>
  <c r="C179" i="54"/>
  <c r="K179" i="54"/>
  <c r="AJ179" i="54"/>
  <c r="AK179" i="54"/>
  <c r="AN179" i="54"/>
  <c r="AP179" i="54"/>
  <c r="D179" i="54"/>
  <c r="Y179" i="54"/>
  <c r="X179" i="54"/>
  <c r="W179" i="54"/>
  <c r="V179" i="54"/>
  <c r="M179" i="54"/>
  <c r="AD179" i="54"/>
  <c r="E179" i="54"/>
  <c r="R179" i="54"/>
  <c r="B284" i="54"/>
  <c r="AO179" i="54"/>
  <c r="U179" i="54"/>
  <c r="L179" i="54"/>
  <c r="H179" i="54"/>
  <c r="AI179" i="54"/>
  <c r="AA179" i="54"/>
  <c r="T179" i="54"/>
  <c r="AQ179" i="54"/>
  <c r="AB179" i="54"/>
  <c r="AE179" i="54"/>
  <c r="B179" i="54"/>
  <c r="S179" i="54"/>
  <c r="J179" i="54"/>
  <c r="F179" i="54"/>
  <c r="O179" i="54"/>
  <c r="Y170" i="54"/>
  <c r="U170" i="54"/>
  <c r="AG170" i="54"/>
  <c r="H170" i="54"/>
  <c r="AP170" i="54"/>
  <c r="Z170" i="54"/>
  <c r="AN170" i="54"/>
  <c r="G170" i="54"/>
  <c r="AF170" i="54"/>
  <c r="AO170" i="54"/>
  <c r="AE170" i="54"/>
  <c r="AL170" i="54"/>
  <c r="AK183" i="54"/>
  <c r="AN173" i="54"/>
  <c r="AF173" i="54"/>
  <c r="C112" i="54"/>
  <c r="AK176" i="54"/>
  <c r="B170" i="54"/>
  <c r="AA170" i="54"/>
  <c r="D170" i="54"/>
  <c r="Q170" i="54"/>
  <c r="T170" i="54"/>
  <c r="AJ170" i="54"/>
  <c r="N170" i="54"/>
  <c r="E170" i="54"/>
  <c r="W170" i="54"/>
  <c r="AD170" i="54"/>
  <c r="P170" i="54"/>
  <c r="AL180" i="54"/>
  <c r="AH180" i="54"/>
  <c r="AG180" i="54"/>
  <c r="F170" i="54"/>
  <c r="AN176" i="54"/>
  <c r="C170" i="54"/>
  <c r="AQ170" i="54"/>
  <c r="R170" i="54"/>
  <c r="AO183" i="54"/>
  <c r="AE183" i="54"/>
  <c r="AO180" i="54"/>
  <c r="AH176" i="54"/>
  <c r="AC170" i="54"/>
  <c r="AG176" i="54"/>
  <c r="AN183" i="54"/>
  <c r="AF183" i="54"/>
  <c r="AK180" i="54"/>
  <c r="AE176" i="54"/>
  <c r="AH170" i="54"/>
  <c r="AH183" i="54"/>
  <c r="AL183" i="54"/>
  <c r="AG173" i="54"/>
  <c r="B184" i="54"/>
  <c r="I170" i="54"/>
  <c r="AF176" i="54"/>
  <c r="AE173" i="54"/>
  <c r="S170" i="54"/>
  <c r="X170" i="54"/>
  <c r="V170" i="54"/>
  <c r="L170" i="54"/>
  <c r="O170" i="54"/>
  <c r="J170" i="54"/>
  <c r="AB170" i="54"/>
  <c r="AO173" i="54"/>
  <c r="AE180" i="54"/>
  <c r="AG183" i="54"/>
  <c r="K170" i="54"/>
  <c r="AM170" i="54"/>
  <c r="AI170" i="54"/>
  <c r="AL173" i="54"/>
  <c r="C184" i="54"/>
  <c r="AF180" i="54"/>
  <c r="AN180" i="54"/>
  <c r="AL176" i="54"/>
  <c r="AO176" i="54"/>
  <c r="M170" i="54"/>
  <c r="AK170" i="54"/>
  <c r="AK172" i="54"/>
  <c r="AJ183" i="54"/>
  <c r="AK173" i="54"/>
  <c r="AG172" i="54"/>
  <c r="AL174" i="54"/>
  <c r="AI176" i="54"/>
  <c r="D173" i="54"/>
  <c r="AP183" i="54"/>
  <c r="AF172" i="54"/>
  <c r="AO174" i="54"/>
  <c r="AI173" i="54"/>
  <c r="AF174" i="54"/>
  <c r="AG174" i="54"/>
  <c r="B174" i="54"/>
  <c r="AM173" i="54"/>
  <c r="AM183" i="54"/>
  <c r="AL172" i="54"/>
  <c r="AP176" i="54"/>
  <c r="AH174" i="54"/>
  <c r="AK174" i="54"/>
  <c r="AJ173" i="54"/>
  <c r="AQ183" i="54"/>
  <c r="D184" i="54"/>
  <c r="AN172" i="54"/>
  <c r="AN174" i="54"/>
  <c r="AH172" i="54"/>
  <c r="AO172" i="54"/>
  <c r="E112" i="54"/>
  <c r="AJ176" i="54"/>
  <c r="D112" i="54"/>
  <c r="E184" i="54"/>
  <c r="AP180" i="54"/>
  <c r="AE174" i="54"/>
  <c r="AP173" i="54"/>
  <c r="AM180" i="54"/>
  <c r="AQ180" i="54"/>
  <c r="AJ180" i="54"/>
  <c r="AH173" i="54"/>
  <c r="AM176" i="54"/>
  <c r="AE172" i="54"/>
  <c r="AQ173" i="54"/>
  <c r="AI183" i="54"/>
  <c r="AI180" i="54"/>
  <c r="AQ176" i="54"/>
  <c r="B173" i="54"/>
  <c r="AQ172" i="54"/>
  <c r="AM174" i="54"/>
  <c r="AI174" i="54"/>
  <c r="AQ174" i="54"/>
  <c r="AM172" i="54"/>
  <c r="AP172" i="54"/>
  <c r="B172" i="54"/>
  <c r="C173" i="54"/>
  <c r="AJ174" i="54"/>
  <c r="AJ172" i="54"/>
  <c r="AI172" i="54"/>
  <c r="F184" i="54"/>
  <c r="AP174" i="54"/>
  <c r="B178" i="54"/>
  <c r="D172" i="54"/>
  <c r="C172" i="54"/>
  <c r="B171" i="54"/>
  <c r="F112" i="54"/>
  <c r="E173" i="54"/>
  <c r="G184" i="54"/>
  <c r="G112" i="54"/>
  <c r="B176" i="54"/>
  <c r="F173" i="54"/>
  <c r="G173" i="54"/>
  <c r="B175" i="54"/>
  <c r="B183" i="54"/>
  <c r="E172" i="54"/>
  <c r="H173" i="54"/>
  <c r="B180" i="54"/>
  <c r="G172" i="54"/>
  <c r="F172" i="54"/>
  <c r="H184" i="54"/>
  <c r="H112" i="54"/>
  <c r="I173" i="54"/>
  <c r="C174" i="54"/>
  <c r="E180" i="54"/>
  <c r="H172" i="54"/>
  <c r="C180" i="54"/>
  <c r="J173" i="54"/>
  <c r="D180" i="54"/>
  <c r="I172" i="54"/>
  <c r="I184" i="54"/>
  <c r="F180" i="54"/>
  <c r="I112" i="54"/>
  <c r="K173" i="54"/>
  <c r="J172" i="54"/>
  <c r="G180" i="54"/>
  <c r="L173" i="54"/>
  <c r="K172" i="54"/>
  <c r="J184" i="54"/>
  <c r="H180" i="54"/>
  <c r="J112" i="54"/>
  <c r="M173" i="54"/>
  <c r="L172" i="54"/>
  <c r="I180" i="54"/>
  <c r="N173" i="54"/>
  <c r="M172" i="54"/>
  <c r="J180" i="54"/>
  <c r="K184" i="54"/>
  <c r="O173" i="54"/>
  <c r="K112" i="54"/>
  <c r="N172" i="54"/>
  <c r="P173" i="54"/>
  <c r="K180" i="54"/>
  <c r="O172" i="54"/>
  <c r="Q173" i="54"/>
  <c r="L184" i="54"/>
  <c r="L180" i="54"/>
  <c r="L112" i="54"/>
  <c r="P172" i="54"/>
  <c r="M180" i="54"/>
  <c r="R173" i="54"/>
  <c r="Q172" i="54"/>
  <c r="N180" i="54"/>
  <c r="M184" i="54"/>
  <c r="S173" i="54"/>
  <c r="M112" i="54"/>
  <c r="R172" i="54"/>
  <c r="O180" i="54"/>
  <c r="T173" i="54"/>
  <c r="S172" i="54"/>
  <c r="P180" i="54"/>
  <c r="N184" i="54"/>
  <c r="N112" i="54"/>
  <c r="U173" i="54"/>
  <c r="T172" i="54"/>
  <c r="Q180" i="54"/>
  <c r="V173" i="54"/>
  <c r="U172" i="54"/>
  <c r="O184" i="54"/>
  <c r="O112" i="54"/>
  <c r="R180" i="54"/>
  <c r="W173" i="54"/>
  <c r="V172" i="54"/>
  <c r="X173" i="54"/>
  <c r="S180" i="54"/>
  <c r="W172" i="54"/>
  <c r="Y173" i="54"/>
  <c r="P184" i="54"/>
  <c r="P112" i="54"/>
  <c r="X172" i="54"/>
  <c r="T180" i="54"/>
  <c r="Z173" i="54"/>
  <c r="U180" i="54"/>
  <c r="Y172" i="54"/>
  <c r="Q112" i="54"/>
  <c r="Q184" i="54"/>
  <c r="AA173" i="54"/>
  <c r="V180" i="54"/>
  <c r="Z172" i="54"/>
  <c r="W180" i="54"/>
  <c r="AB173" i="54"/>
  <c r="AA172" i="54"/>
  <c r="R184" i="54"/>
  <c r="AC173" i="54"/>
  <c r="R112" i="54"/>
  <c r="X180" i="54"/>
  <c r="AB172" i="54"/>
  <c r="Y180" i="54"/>
  <c r="AD173" i="54"/>
  <c r="AC172" i="54"/>
  <c r="S184" i="54"/>
  <c r="S112" i="54"/>
  <c r="Z180" i="54"/>
  <c r="AD172" i="54"/>
  <c r="AA180" i="54"/>
  <c r="T184" i="54"/>
  <c r="T112" i="54"/>
  <c r="AB180" i="54"/>
  <c r="AC180" i="54"/>
  <c r="U184" i="54"/>
  <c r="U112" i="54"/>
  <c r="AD180" i="54"/>
  <c r="V184" i="54"/>
  <c r="V112" i="54"/>
  <c r="W184" i="54"/>
  <c r="W112" i="54"/>
  <c r="X184" i="54"/>
  <c r="X112" i="54"/>
  <c r="Y184" i="54"/>
  <c r="Y112" i="54"/>
  <c r="Z184" i="54"/>
  <c r="Z112" i="54"/>
  <c r="AA184" i="54"/>
  <c r="AA112" i="54"/>
  <c r="AB184" i="54"/>
  <c r="AB112" i="54"/>
  <c r="AC184" i="54"/>
  <c r="AC112" i="54"/>
  <c r="AD184" i="54"/>
  <c r="AD112" i="54"/>
  <c r="D178" i="54"/>
  <c r="C171" i="54"/>
  <c r="C178" i="54"/>
  <c r="D171" i="54"/>
  <c r="AE184" i="54"/>
  <c r="AE112" i="54"/>
  <c r="E171" i="54"/>
  <c r="E178" i="54"/>
  <c r="AF184" i="54"/>
  <c r="AF112" i="54"/>
  <c r="F171" i="54"/>
  <c r="F178" i="54"/>
  <c r="C176" i="54"/>
  <c r="G178" i="54"/>
  <c r="G171" i="54"/>
  <c r="C175" i="54"/>
  <c r="H171" i="54"/>
  <c r="H178" i="54"/>
  <c r="I171" i="54"/>
  <c r="AG184" i="54"/>
  <c r="AG112" i="54"/>
  <c r="I178" i="54"/>
  <c r="C183" i="54"/>
  <c r="D183" i="54"/>
  <c r="J178" i="54"/>
  <c r="J171" i="54"/>
  <c r="E183" i="54"/>
  <c r="AH184" i="54"/>
  <c r="AH112" i="54"/>
  <c r="K171" i="54"/>
  <c r="K178" i="54"/>
  <c r="F183" i="54"/>
  <c r="E174" i="54"/>
  <c r="D174" i="54"/>
  <c r="L171" i="54"/>
  <c r="L178" i="54"/>
  <c r="G183" i="54"/>
  <c r="M171" i="54"/>
  <c r="H183" i="54"/>
  <c r="F174" i="54"/>
  <c r="AI184" i="54"/>
  <c r="AI112" i="54"/>
  <c r="M178" i="54"/>
  <c r="G174" i="54"/>
  <c r="E175" i="54"/>
  <c r="N171" i="54"/>
  <c r="I174" i="54"/>
  <c r="E176" i="54"/>
  <c r="D176" i="54"/>
  <c r="F175" i="54"/>
  <c r="I183" i="54"/>
  <c r="D175" i="54"/>
  <c r="F176" i="54"/>
  <c r="N178" i="54"/>
  <c r="H174" i="54"/>
  <c r="J183" i="54"/>
  <c r="O171" i="54"/>
  <c r="G175" i="54"/>
  <c r="H175" i="54"/>
  <c r="O178" i="54"/>
  <c r="I175" i="54"/>
  <c r="I176" i="54"/>
  <c r="G176" i="54"/>
  <c r="AJ184" i="54"/>
  <c r="AJ112" i="54"/>
  <c r="J174" i="54"/>
  <c r="J175" i="54"/>
  <c r="P178" i="54"/>
  <c r="H176" i="54"/>
  <c r="K183" i="54"/>
  <c r="P171" i="54"/>
  <c r="K174" i="54"/>
  <c r="L183" i="54"/>
  <c r="Q178" i="54"/>
  <c r="AK184" i="54"/>
  <c r="AK112" i="54"/>
  <c r="J176" i="54"/>
  <c r="K175" i="54"/>
  <c r="Q171" i="54"/>
  <c r="M183" i="54"/>
  <c r="L174" i="54"/>
  <c r="R178" i="54"/>
  <c r="R171" i="54"/>
  <c r="K176" i="54"/>
  <c r="N183" i="54"/>
  <c r="S171" i="54"/>
  <c r="AL184" i="54"/>
  <c r="M174" i="54"/>
  <c r="M175" i="54"/>
  <c r="L175" i="54"/>
  <c r="S178" i="54"/>
  <c r="AL112" i="54"/>
  <c r="N174" i="54"/>
  <c r="T171" i="54"/>
  <c r="O183" i="54"/>
  <c r="M176" i="54"/>
  <c r="T178" i="54"/>
  <c r="L176" i="54"/>
  <c r="P183" i="54"/>
  <c r="N175" i="54"/>
  <c r="O174" i="54"/>
  <c r="AM184" i="54"/>
  <c r="N176" i="54"/>
  <c r="U171" i="54"/>
  <c r="U178" i="54"/>
  <c r="AM112" i="54"/>
  <c r="Q183" i="54"/>
  <c r="O175" i="54"/>
  <c r="V171" i="54"/>
  <c r="P174" i="54"/>
  <c r="O176" i="54"/>
  <c r="V178" i="54"/>
  <c r="Q174" i="54"/>
  <c r="AN184" i="54"/>
  <c r="AN112" i="54"/>
  <c r="W171" i="54"/>
  <c r="W178" i="54"/>
  <c r="Q175" i="54"/>
  <c r="P175" i="54"/>
  <c r="R183" i="54"/>
  <c r="R174" i="54"/>
  <c r="S183" i="54"/>
  <c r="X178" i="54"/>
  <c r="X171" i="54"/>
  <c r="R175" i="54"/>
  <c r="Q176" i="54"/>
  <c r="S174" i="54"/>
  <c r="Y171" i="54"/>
  <c r="T183" i="54"/>
  <c r="AO184" i="54"/>
  <c r="AO112" i="54"/>
  <c r="Y178" i="54"/>
  <c r="R176" i="54"/>
  <c r="U183" i="54"/>
  <c r="Z178" i="54"/>
  <c r="Z171" i="54"/>
  <c r="S175" i="54"/>
  <c r="T174" i="54"/>
  <c r="S176" i="54"/>
  <c r="AP184" i="54"/>
  <c r="AP112" i="54"/>
  <c r="T175" i="54"/>
  <c r="AA171" i="54"/>
  <c r="AA178" i="54"/>
  <c r="T176" i="54"/>
  <c r="V183" i="54"/>
  <c r="U174" i="54"/>
  <c r="W183" i="54"/>
  <c r="V174" i="54"/>
  <c r="AB171" i="54"/>
  <c r="AB178" i="54"/>
  <c r="U176" i="54"/>
  <c r="U175" i="54"/>
  <c r="W174" i="54"/>
  <c r="V176" i="54"/>
  <c r="X183" i="54"/>
  <c r="AC171" i="54"/>
  <c r="AC178" i="54"/>
  <c r="V175" i="54"/>
  <c r="AQ184" i="54"/>
  <c r="AQ112" i="54"/>
  <c r="Y183" i="54"/>
  <c r="W176" i="54"/>
  <c r="X174" i="54"/>
  <c r="W175" i="54"/>
  <c r="AD171" i="54"/>
  <c r="X175" i="54"/>
  <c r="AD178" i="54"/>
  <c r="AR112" i="54"/>
  <c r="Z183" i="54"/>
  <c r="Y174" i="54"/>
  <c r="Y175" i="54"/>
  <c r="Z174" i="54"/>
  <c r="X176" i="54"/>
  <c r="AE178" i="54"/>
  <c r="AE171" i="54"/>
  <c r="Z175" i="54"/>
  <c r="AF171" i="54"/>
  <c r="AF178" i="54"/>
  <c r="AA174" i="54"/>
  <c r="AA183" i="54"/>
  <c r="Y176" i="54"/>
  <c r="AB183" i="54"/>
  <c r="AA175" i="54"/>
  <c r="AG171" i="54"/>
  <c r="AG178" i="54"/>
  <c r="Z176" i="54"/>
  <c r="AB174" i="54"/>
  <c r="AH171" i="54"/>
  <c r="AA176" i="54"/>
  <c r="AH178" i="54"/>
  <c r="AB175" i="54"/>
  <c r="AC183" i="54"/>
  <c r="AE175" i="54"/>
  <c r="AC174" i="54"/>
  <c r="AI171" i="54"/>
  <c r="AB176" i="54"/>
  <c r="AI178" i="54"/>
  <c r="AD174" i="54"/>
  <c r="AF175" i="54"/>
  <c r="AD183" i="54"/>
  <c r="AC175" i="54"/>
  <c r="AG175" i="54"/>
  <c r="AC176" i="54"/>
  <c r="AJ171" i="54"/>
  <c r="AJ178" i="54"/>
  <c r="AH175" i="54"/>
  <c r="AK171" i="54"/>
  <c r="AD176" i="54"/>
  <c r="AK178" i="54"/>
  <c r="AD175" i="54"/>
  <c r="AI175" i="54"/>
  <c r="AL178" i="54"/>
  <c r="AL171" i="54"/>
  <c r="AJ175" i="54"/>
  <c r="AM178" i="54"/>
  <c r="AK175" i="54"/>
  <c r="AM171" i="54"/>
  <c r="AL175" i="54"/>
  <c r="AN178" i="54"/>
  <c r="AN171" i="54"/>
  <c r="AO171" i="54"/>
  <c r="AO178" i="54"/>
  <c r="AP171" i="54"/>
  <c r="AM175" i="54"/>
  <c r="AN175" i="54"/>
  <c r="AP178" i="54"/>
  <c r="AQ171" i="54"/>
  <c r="AQ178" i="54"/>
  <c r="AO175" i="54"/>
  <c r="AP175" i="54"/>
  <c r="AQ175" i="54"/>
  <c r="AG14" i="39"/>
  <c r="BN57" i="39" l="1"/>
  <c r="BN67" i="39" s="1"/>
  <c r="AH31" i="36"/>
  <c r="F16" i="15" s="1"/>
  <c r="F14" i="15" s="1"/>
  <c r="F12" i="15" s="1"/>
  <c r="F18" i="15" s="1"/>
  <c r="F20" i="15" s="1"/>
  <c r="BO56" i="37"/>
  <c r="BO32" i="39" s="1"/>
  <c r="BO28" i="39" s="1"/>
  <c r="BP63" i="37"/>
  <c r="BP62" i="37" s="1"/>
  <c r="BN34" i="39"/>
  <c r="P181" i="54"/>
  <c r="P185" i="54" s="1"/>
  <c r="N181" i="54"/>
  <c r="N185" i="54" s="1"/>
  <c r="U181" i="54"/>
  <c r="U185" i="54" s="1"/>
  <c r="M181" i="54"/>
  <c r="M185" i="54" s="1"/>
  <c r="AA181" i="54"/>
  <c r="AA185" i="54" s="1"/>
  <c r="J181" i="54"/>
  <c r="J185" i="54" s="1"/>
  <c r="AD181" i="54"/>
  <c r="AD185" i="54" s="1"/>
  <c r="X181" i="54"/>
  <c r="X185" i="54" s="1"/>
  <c r="F181" i="54"/>
  <c r="F185" i="54" s="1"/>
  <c r="AC181" i="54"/>
  <c r="AC185" i="54" s="1"/>
  <c r="C181" i="54"/>
  <c r="C185" i="54" s="1"/>
  <c r="T181" i="54"/>
  <c r="T185" i="54" s="1"/>
  <c r="Q181" i="54"/>
  <c r="Q185" i="54" s="1"/>
  <c r="O181" i="54"/>
  <c r="O185" i="54" s="1"/>
  <c r="G181" i="54"/>
  <c r="G185" i="54" s="1"/>
  <c r="AB181" i="54"/>
  <c r="AB185" i="54" s="1"/>
  <c r="I181" i="54"/>
  <c r="I185" i="54" s="1"/>
  <c r="H181" i="54"/>
  <c r="H185" i="54" s="1"/>
  <c r="D181" i="54"/>
  <c r="D185" i="54" s="1"/>
  <c r="R181" i="54"/>
  <c r="R185" i="54" s="1"/>
  <c r="AP181" i="54"/>
  <c r="AP185" i="54" s="1"/>
  <c r="AF181" i="54"/>
  <c r="AF185" i="54" s="1"/>
  <c r="Z181" i="54"/>
  <c r="Z185" i="54" s="1"/>
  <c r="W181" i="54"/>
  <c r="W185" i="54" s="1"/>
  <c r="V181" i="54"/>
  <c r="V185" i="54" s="1"/>
  <c r="S181" i="54"/>
  <c r="S185" i="54" s="1"/>
  <c r="K181" i="54"/>
  <c r="K185" i="54" s="1"/>
  <c r="AM181" i="54"/>
  <c r="AM185" i="54" s="1"/>
  <c r="AG181" i="54"/>
  <c r="AG185" i="54" s="1"/>
  <c r="L181" i="54"/>
  <c r="L185" i="54" s="1"/>
  <c r="AI181" i="54"/>
  <c r="AI185" i="54" s="1"/>
  <c r="AO181" i="54"/>
  <c r="AO185" i="54" s="1"/>
  <c r="AN181" i="54"/>
  <c r="AN185" i="54" s="1"/>
  <c r="AK181" i="54"/>
  <c r="AK185" i="54" s="1"/>
  <c r="AJ181" i="54"/>
  <c r="AJ185" i="54" s="1"/>
  <c r="AL181" i="54"/>
  <c r="AL185" i="54" s="1"/>
  <c r="AH181" i="54"/>
  <c r="AH185" i="54" s="1"/>
  <c r="E181" i="54"/>
  <c r="E185" i="54" s="1"/>
  <c r="AQ181" i="54"/>
  <c r="AQ185" i="54" s="1"/>
  <c r="Y181" i="54"/>
  <c r="Y185" i="54" s="1"/>
  <c r="B181" i="54"/>
  <c r="B185" i="54" s="1"/>
  <c r="AE181" i="54"/>
  <c r="AE185" i="54" s="1"/>
  <c r="AH41" i="39"/>
  <c r="F24" i="15" l="1"/>
  <c r="F25" i="15" s="1"/>
  <c r="F67" i="15"/>
  <c r="F68" i="15" s="1"/>
  <c r="AI31" i="36"/>
  <c r="G16" i="15" s="1"/>
  <c r="G14" i="15" s="1"/>
  <c r="G12" i="15" s="1"/>
  <c r="G18" i="15" s="1"/>
  <c r="G20" i="15" s="1"/>
  <c r="BP57" i="37"/>
  <c r="BO36" i="39"/>
  <c r="BO15" i="39"/>
  <c r="AH14" i="39"/>
  <c r="AI41" i="39"/>
  <c r="BO57" i="39" l="1"/>
  <c r="BO67" i="39" s="1"/>
  <c r="F72" i="15"/>
  <c r="G67" i="15"/>
  <c r="G68" i="15" s="1"/>
  <c r="G24" i="15"/>
  <c r="G72" i="15" s="1"/>
  <c r="AJ31" i="36"/>
  <c r="H16" i="15" s="1"/>
  <c r="H14" i="15" s="1"/>
  <c r="H12" i="15" s="1"/>
  <c r="H18" i="15" s="1"/>
  <c r="H20" i="15" s="1"/>
  <c r="BO34" i="39"/>
  <c r="BP56" i="37"/>
  <c r="BP32" i="39" s="1"/>
  <c r="BP28" i="39" s="1"/>
  <c r="BQ63" i="37"/>
  <c r="BQ62" i="37" s="1"/>
  <c r="AK31" i="36"/>
  <c r="I16" i="15" s="1"/>
  <c r="I14" i="15" s="1"/>
  <c r="I12" i="15" s="1"/>
  <c r="I18" i="15" s="1"/>
  <c r="I20" i="15" s="1"/>
  <c r="I67" i="15" s="1"/>
  <c r="AJ41" i="39"/>
  <c r="AI14" i="39"/>
  <c r="G25" i="15" l="1"/>
  <c r="H24" i="15"/>
  <c r="H72" i="15" s="1"/>
  <c r="H67" i="15"/>
  <c r="H68" i="15" s="1"/>
  <c r="I68" i="15" s="1"/>
  <c r="BQ57" i="37"/>
  <c r="BR63" i="37" s="1"/>
  <c r="BR62" i="37" s="1"/>
  <c r="BP15" i="39"/>
  <c r="BP36" i="39"/>
  <c r="AJ14" i="39"/>
  <c r="AK41" i="39"/>
  <c r="AL31" i="36"/>
  <c r="J16" i="15" s="1"/>
  <c r="J14" i="15" s="1"/>
  <c r="J12" i="15" s="1"/>
  <c r="J18" i="15" s="1"/>
  <c r="J20" i="15" s="1"/>
  <c r="J67" i="15" s="1"/>
  <c r="H25" i="15" l="1"/>
  <c r="I24" i="15"/>
  <c r="BP57" i="39"/>
  <c r="BP67" i="39" s="1"/>
  <c r="J68" i="15"/>
  <c r="J24" i="15"/>
  <c r="I72" i="15"/>
  <c r="I25" i="15"/>
  <c r="BR57" i="37"/>
  <c r="BS63" i="37" s="1"/>
  <c r="BQ56" i="37"/>
  <c r="BQ32" i="39" s="1"/>
  <c r="BQ28" i="39" s="1"/>
  <c r="BQ15" i="39" s="1"/>
  <c r="BP34" i="39"/>
  <c r="AM31" i="36"/>
  <c r="K16" i="15" s="1"/>
  <c r="K14" i="15" s="1"/>
  <c r="K12" i="15" s="1"/>
  <c r="K18" i="15" s="1"/>
  <c r="K20" i="15" s="1"/>
  <c r="K67" i="15" s="1"/>
  <c r="AL41" i="39"/>
  <c r="AK14" i="39"/>
  <c r="BQ57" i="39" l="1"/>
  <c r="BQ67" i="39" s="1"/>
  <c r="K68" i="15"/>
  <c r="J72" i="15"/>
  <c r="J25" i="15"/>
  <c r="K24" i="15"/>
  <c r="BR56" i="37"/>
  <c r="BR32" i="39" s="1"/>
  <c r="BR28" i="39" s="1"/>
  <c r="BR36" i="39" s="1"/>
  <c r="BS62" i="37"/>
  <c r="BS57" i="37"/>
  <c r="BS56" i="37" s="1"/>
  <c r="BS32" i="39" s="1"/>
  <c r="BS28" i="39" s="1"/>
  <c r="BQ36" i="39"/>
  <c r="BQ34" i="39"/>
  <c r="AL14" i="39"/>
  <c r="AM41" i="39"/>
  <c r="AN31" i="36"/>
  <c r="L16" i="15" s="1"/>
  <c r="L14" i="15" s="1"/>
  <c r="L12" i="15" s="1"/>
  <c r="L18" i="15" s="1"/>
  <c r="L20" i="15" s="1"/>
  <c r="L67" i="15" s="1"/>
  <c r="K69" i="15" l="1"/>
  <c r="K71" i="15" s="1"/>
  <c r="K72" i="15" s="1"/>
  <c r="L68" i="15"/>
  <c r="BR15" i="39"/>
  <c r="BT63" i="37"/>
  <c r="BT57" i="37" s="1"/>
  <c r="L24" i="15"/>
  <c r="K25" i="15"/>
  <c r="BS36" i="39"/>
  <c r="BS15" i="39"/>
  <c r="AO31" i="36"/>
  <c r="M16" i="15" s="1"/>
  <c r="M14" i="15" s="1"/>
  <c r="M12" i="15" s="1"/>
  <c r="M18" i="15" s="1"/>
  <c r="M20" i="15" s="1"/>
  <c r="M67" i="15" s="1"/>
  <c r="AN41" i="39"/>
  <c r="AM14" i="39"/>
  <c r="BS57" i="39" l="1"/>
  <c r="BR57" i="39"/>
  <c r="BR67" i="39" s="1"/>
  <c r="BR34" i="39"/>
  <c r="L69" i="15"/>
  <c r="M68" i="15"/>
  <c r="BT62" i="37"/>
  <c r="M24" i="15"/>
  <c r="L25" i="15"/>
  <c r="L72" i="15"/>
  <c r="BU63" i="37"/>
  <c r="BU62" i="37" s="1"/>
  <c r="BT56" i="37"/>
  <c r="BT32" i="39" s="1"/>
  <c r="BT28" i="39" s="1"/>
  <c r="BS34" i="39"/>
  <c r="AN14" i="39"/>
  <c r="AO41" i="39"/>
  <c r="AP31" i="36"/>
  <c r="N16" i="15" s="1"/>
  <c r="N14" i="15" s="1"/>
  <c r="N12" i="15" s="1"/>
  <c r="N18" i="15" s="1"/>
  <c r="N20" i="15" s="1"/>
  <c r="N67" i="15" s="1"/>
  <c r="BS67" i="39" l="1"/>
  <c r="N68" i="15"/>
  <c r="M69" i="15"/>
  <c r="N24" i="15"/>
  <c r="M72" i="15"/>
  <c r="M25" i="15"/>
  <c r="BT15" i="39"/>
  <c r="BT36" i="39"/>
  <c r="BU57" i="37"/>
  <c r="AQ31" i="36"/>
  <c r="O16" i="15" s="1"/>
  <c r="O14" i="15" s="1"/>
  <c r="O12" i="15" s="1"/>
  <c r="O18" i="15" s="1"/>
  <c r="O20" i="15" s="1"/>
  <c r="O67" i="15" s="1"/>
  <c r="AP41" i="39"/>
  <c r="AO14" i="39"/>
  <c r="BT57" i="39" l="1"/>
  <c r="BT67" i="39" s="1"/>
  <c r="N69" i="15"/>
  <c r="O68" i="15"/>
  <c r="O24" i="15"/>
  <c r="N25" i="15"/>
  <c r="N72" i="15"/>
  <c r="BU56" i="37"/>
  <c r="BU32" i="39" s="1"/>
  <c r="BU28" i="39" s="1"/>
  <c r="BV63" i="37"/>
  <c r="BV62" i="37" s="1"/>
  <c r="BT34" i="39"/>
  <c r="AP14" i="39"/>
  <c r="AQ41" i="39"/>
  <c r="AR31" i="36"/>
  <c r="P16" i="15" s="1"/>
  <c r="P14" i="15" s="1"/>
  <c r="P12" i="15" s="1"/>
  <c r="P18" i="15" s="1"/>
  <c r="P20" i="15" s="1"/>
  <c r="P67" i="15" s="1"/>
  <c r="P68" i="15" l="1"/>
  <c r="O69" i="15"/>
  <c r="P24" i="15"/>
  <c r="O72" i="15"/>
  <c r="O25" i="15"/>
  <c r="BV57" i="37"/>
  <c r="BU36" i="39"/>
  <c r="BU15" i="39"/>
  <c r="AR41" i="39"/>
  <c r="AS31" i="36"/>
  <c r="Q16" i="15" s="1"/>
  <c r="Q14" i="15" s="1"/>
  <c r="Q12" i="15" s="1"/>
  <c r="Q18" i="15" s="1"/>
  <c r="Q20" i="15" s="1"/>
  <c r="Q67" i="15" s="1"/>
  <c r="AQ14" i="39"/>
  <c r="BU57" i="39" l="1"/>
  <c r="BU67" i="39" s="1"/>
  <c r="P69" i="15"/>
  <c r="Q68" i="15"/>
  <c r="Q24" i="15"/>
  <c r="P25" i="15"/>
  <c r="P72" i="15"/>
  <c r="BU34" i="39"/>
  <c r="BW63" i="37"/>
  <c r="BW62" i="37" s="1"/>
  <c r="BV56" i="37"/>
  <c r="BV32" i="39" s="1"/>
  <c r="BV28" i="39" s="1"/>
  <c r="AS41" i="39"/>
  <c r="AT31" i="36"/>
  <c r="R16" i="15" s="1"/>
  <c r="R14" i="15" s="1"/>
  <c r="R12" i="15" s="1"/>
  <c r="R18" i="15" s="1"/>
  <c r="R20" i="15" s="1"/>
  <c r="R67" i="15" s="1"/>
  <c r="AR14" i="39"/>
  <c r="Q69" i="15" l="1"/>
  <c r="R68" i="15"/>
  <c r="R24" i="15"/>
  <c r="Q72" i="15"/>
  <c r="Q25" i="15"/>
  <c r="BW57" i="37"/>
  <c r="BW56" i="37" s="1"/>
  <c r="BW32" i="39" s="1"/>
  <c r="BW28" i="39" s="1"/>
  <c r="BV36" i="39"/>
  <c r="BV15" i="39"/>
  <c r="AU31" i="36"/>
  <c r="S16" i="15" s="1"/>
  <c r="S14" i="15" s="1"/>
  <c r="S12" i="15" s="1"/>
  <c r="S18" i="15" s="1"/>
  <c r="S20" i="15" s="1"/>
  <c r="S67" i="15" s="1"/>
  <c r="AT41" i="39"/>
  <c r="AS14" i="39"/>
  <c r="BV57" i="39" l="1"/>
  <c r="BV67" i="39" s="1"/>
  <c r="S68" i="15"/>
  <c r="R69" i="15"/>
  <c r="R25" i="15"/>
  <c r="S24" i="15"/>
  <c r="R72" i="15"/>
  <c r="BV34" i="39"/>
  <c r="BW36" i="39"/>
  <c r="BW15" i="39"/>
  <c r="AT14" i="39"/>
  <c r="AU41" i="39"/>
  <c r="AV31" i="36"/>
  <c r="T16" i="15" s="1"/>
  <c r="T14" i="15" s="1"/>
  <c r="T12" i="15" s="1"/>
  <c r="T18" i="15" s="1"/>
  <c r="T20" i="15" s="1"/>
  <c r="T67" i="15" s="1"/>
  <c r="BW57" i="39" l="1"/>
  <c r="BW67" i="39" s="1"/>
  <c r="T68" i="15"/>
  <c r="S69" i="15"/>
  <c r="S72" i="15"/>
  <c r="T24" i="15"/>
  <c r="S25" i="15"/>
  <c r="BW34" i="39"/>
  <c r="AV41" i="39"/>
  <c r="AW31" i="36"/>
  <c r="U16" i="15" s="1"/>
  <c r="U14" i="15" s="1"/>
  <c r="U12" i="15" s="1"/>
  <c r="U18" i="15" s="1"/>
  <c r="U20" i="15" s="1"/>
  <c r="U67" i="15" s="1"/>
  <c r="AU14" i="39"/>
  <c r="T69" i="15" l="1"/>
  <c r="U68" i="15"/>
  <c r="U24" i="15"/>
  <c r="T25" i="15"/>
  <c r="T72" i="15"/>
  <c r="AW41" i="39"/>
  <c r="AX31" i="36"/>
  <c r="V16" i="15" s="1"/>
  <c r="V14" i="15" s="1"/>
  <c r="V12" i="15" s="1"/>
  <c r="V18" i="15" s="1"/>
  <c r="V20" i="15" s="1"/>
  <c r="V67" i="15" s="1"/>
  <c r="AV14" i="39"/>
  <c r="V68" i="15" l="1"/>
  <c r="U69" i="15"/>
  <c r="U25" i="15"/>
  <c r="V24" i="15"/>
  <c r="U72" i="15"/>
  <c r="AY31" i="36"/>
  <c r="W16" i="15" s="1"/>
  <c r="W14" i="15" s="1"/>
  <c r="W12" i="15" s="1"/>
  <c r="W18" i="15" s="1"/>
  <c r="W20" i="15" s="1"/>
  <c r="W67" i="15" s="1"/>
  <c r="AX41" i="39"/>
  <c r="AW14" i="39"/>
  <c r="W68" i="15" l="1"/>
  <c r="V69" i="15"/>
  <c r="V72" i="15"/>
  <c r="W24" i="15"/>
  <c r="V25" i="15"/>
  <c r="AX14" i="39"/>
  <c r="AZ31" i="36"/>
  <c r="X16" i="15" s="1"/>
  <c r="X14" i="15" s="1"/>
  <c r="X12" i="15" s="1"/>
  <c r="X18" i="15" s="1"/>
  <c r="X20" i="15" s="1"/>
  <c r="X67" i="15" s="1"/>
  <c r="AY41" i="39"/>
  <c r="X68" i="15" l="1"/>
  <c r="W69" i="15"/>
  <c r="W72" i="15"/>
  <c r="X24" i="15"/>
  <c r="W25" i="15"/>
  <c r="AY14" i="39"/>
  <c r="AZ41" i="39"/>
  <c r="BA31" i="36"/>
  <c r="Y16" i="15" s="1"/>
  <c r="Y14" i="15" s="1"/>
  <c r="Y12" i="15" s="1"/>
  <c r="Y18" i="15" s="1"/>
  <c r="Y20" i="15" s="1"/>
  <c r="Y67" i="15" s="1"/>
  <c r="Y68" i="15" l="1"/>
  <c r="X69" i="15"/>
  <c r="X72" i="15"/>
  <c r="X25" i="15"/>
  <c r="Y24" i="15"/>
  <c r="BA41" i="39"/>
  <c r="BB31" i="36"/>
  <c r="Z16" i="15" s="1"/>
  <c r="Z14" i="15" s="1"/>
  <c r="Z12" i="15" s="1"/>
  <c r="Z18" i="15" s="1"/>
  <c r="Z20" i="15" s="1"/>
  <c r="Z67" i="15" s="1"/>
  <c r="AZ14" i="39"/>
  <c r="Y69" i="15" l="1"/>
  <c r="Z68" i="15"/>
  <c r="Y72" i="15"/>
  <c r="Z24" i="15"/>
  <c r="Y25" i="15"/>
  <c r="BB41" i="39"/>
  <c r="BC31" i="36"/>
  <c r="AA16" i="15" s="1"/>
  <c r="AA14" i="15" s="1"/>
  <c r="AA12" i="15" s="1"/>
  <c r="AA18" i="15" s="1"/>
  <c r="AA20" i="15" s="1"/>
  <c r="AA67" i="15" s="1"/>
  <c r="BA14" i="39"/>
  <c r="AA68" i="15" l="1"/>
  <c r="Z69" i="15"/>
  <c r="Z25" i="15"/>
  <c r="Z72" i="15"/>
  <c r="AA24" i="15"/>
  <c r="BD31" i="36"/>
  <c r="AB16" i="15" s="1"/>
  <c r="AB14" i="15" s="1"/>
  <c r="AB12" i="15" s="1"/>
  <c r="AB18" i="15" s="1"/>
  <c r="AB20" i="15" s="1"/>
  <c r="AB67" i="15" s="1"/>
  <c r="BC41" i="39"/>
  <c r="BB14" i="39"/>
  <c r="AA69" i="15" l="1"/>
  <c r="AB68" i="15"/>
  <c r="AA25" i="15"/>
  <c r="AB24" i="15"/>
  <c r="AA72" i="15"/>
  <c r="BC14" i="39"/>
  <c r="BD41" i="39"/>
  <c r="BE31" i="36"/>
  <c r="AC16" i="15" s="1"/>
  <c r="AC14" i="15" s="1"/>
  <c r="AC12" i="15" s="1"/>
  <c r="AC18" i="15" s="1"/>
  <c r="AC20" i="15" s="1"/>
  <c r="AC67" i="15" s="1"/>
  <c r="AC68" i="15" l="1"/>
  <c r="AB69" i="15"/>
  <c r="AB25" i="15"/>
  <c r="AB72" i="15"/>
  <c r="AC24" i="15"/>
  <c r="BE41" i="39"/>
  <c r="BF31" i="36"/>
  <c r="AD16" i="15" s="1"/>
  <c r="AD14" i="15" s="1"/>
  <c r="AD12" i="15" s="1"/>
  <c r="AD18" i="15" s="1"/>
  <c r="AD20" i="15" s="1"/>
  <c r="AD67" i="15" s="1"/>
  <c r="BD14" i="39"/>
  <c r="AC69" i="15" l="1"/>
  <c r="AD68" i="15"/>
  <c r="AD24" i="15"/>
  <c r="AC72" i="15"/>
  <c r="AC25" i="15"/>
  <c r="BG31" i="36"/>
  <c r="AE16" i="15" s="1"/>
  <c r="AE14" i="15" s="1"/>
  <c r="AE12" i="15" s="1"/>
  <c r="AE18" i="15" s="1"/>
  <c r="AE20" i="15" s="1"/>
  <c r="AE67" i="15" s="1"/>
  <c r="BF41" i="39"/>
  <c r="BE14" i="39"/>
  <c r="AE68" i="15" l="1"/>
  <c r="AD69" i="15"/>
  <c r="AD72" i="15"/>
  <c r="AE24" i="15"/>
  <c r="AD25" i="15"/>
  <c r="BF14" i="39"/>
  <c r="BG41" i="39"/>
  <c r="BH31" i="36"/>
  <c r="AF16" i="15" s="1"/>
  <c r="AF14" i="15" s="1"/>
  <c r="AF12" i="15" s="1"/>
  <c r="AF18" i="15" s="1"/>
  <c r="AF20" i="15" s="1"/>
  <c r="AF67" i="15" s="1"/>
  <c r="AE69" i="15" l="1"/>
  <c r="AF68" i="15"/>
  <c r="AF24" i="15"/>
  <c r="AE72" i="15"/>
  <c r="AE25" i="15"/>
  <c r="BI31" i="36"/>
  <c r="AG16" i="15" s="1"/>
  <c r="AG14" i="15" s="1"/>
  <c r="AG12" i="15" s="1"/>
  <c r="AG18" i="15" s="1"/>
  <c r="AG20" i="15" s="1"/>
  <c r="AG67" i="15" s="1"/>
  <c r="BH41" i="39"/>
  <c r="BG14" i="39"/>
  <c r="AG68" i="15" l="1"/>
  <c r="AF69" i="15"/>
  <c r="AG24" i="15"/>
  <c r="AF25" i="15"/>
  <c r="AF72" i="15"/>
  <c r="BH14" i="39"/>
  <c r="BJ31" i="36"/>
  <c r="AH16" i="15" s="1"/>
  <c r="AH14" i="15" s="1"/>
  <c r="AH12" i="15" s="1"/>
  <c r="AH18" i="15" s="1"/>
  <c r="AH20" i="15" s="1"/>
  <c r="AH67" i="15" s="1"/>
  <c r="BI41" i="39"/>
  <c r="AG69" i="15" l="1"/>
  <c r="AH68" i="15"/>
  <c r="AH24" i="15"/>
  <c r="AG72" i="15"/>
  <c r="AG25" i="15"/>
  <c r="BI14" i="39"/>
  <c r="BJ41" i="39"/>
  <c r="BK31" i="36"/>
  <c r="AI16" i="15" s="1"/>
  <c r="AI14" i="15" s="1"/>
  <c r="AI12" i="15" s="1"/>
  <c r="AI18" i="15" s="1"/>
  <c r="AI20" i="15" s="1"/>
  <c r="AI67" i="15" s="1"/>
  <c r="AH69" i="15" l="1"/>
  <c r="AI68" i="15"/>
  <c r="AH72" i="15"/>
  <c r="AH25" i="15"/>
  <c r="AI24" i="15"/>
  <c r="BK41" i="39"/>
  <c r="BL31" i="36"/>
  <c r="AJ16" i="15" s="1"/>
  <c r="AJ14" i="15" s="1"/>
  <c r="AJ12" i="15" s="1"/>
  <c r="AJ18" i="15" s="1"/>
  <c r="AJ20" i="15" s="1"/>
  <c r="AJ67" i="15" s="1"/>
  <c r="BJ14" i="39"/>
  <c r="AJ68" i="15" l="1"/>
  <c r="AI69" i="15"/>
  <c r="AJ24" i="15"/>
  <c r="AI25" i="15"/>
  <c r="AI72" i="15"/>
  <c r="BM31" i="36"/>
  <c r="AK16" i="15" s="1"/>
  <c r="AK14" i="15" s="1"/>
  <c r="AK12" i="15" s="1"/>
  <c r="AK18" i="15" s="1"/>
  <c r="AK20" i="15" s="1"/>
  <c r="AK67" i="15" s="1"/>
  <c r="BL41" i="39"/>
  <c r="BK14" i="39"/>
  <c r="AJ69" i="15" l="1"/>
  <c r="AK68" i="15"/>
  <c r="AJ25" i="15"/>
  <c r="AJ72" i="15"/>
  <c r="B76" i="15" s="1"/>
  <c r="B78" i="15" s="1"/>
  <c r="B84" i="15" s="1"/>
  <c r="AK24" i="15"/>
  <c r="BL14" i="39"/>
  <c r="BN31" i="36"/>
  <c r="AL16" i="15" s="1"/>
  <c r="AL14" i="15" s="1"/>
  <c r="AL12" i="15" s="1"/>
  <c r="AL18" i="15" s="1"/>
  <c r="AL20" i="15" s="1"/>
  <c r="AL67" i="15" s="1"/>
  <c r="BM41" i="39"/>
  <c r="AL68" i="15" l="1"/>
  <c r="AK69" i="15"/>
  <c r="AK25" i="15"/>
  <c r="AL24" i="15"/>
  <c r="AK72" i="15"/>
  <c r="BM14" i="39"/>
  <c r="BO31" i="36"/>
  <c r="AM16" i="15" s="1"/>
  <c r="AM14" i="15" s="1"/>
  <c r="AM12" i="15" s="1"/>
  <c r="AM18" i="15" s="1"/>
  <c r="AM20" i="15" s="1"/>
  <c r="AM67" i="15" s="1"/>
  <c r="BN41" i="39"/>
  <c r="AL69" i="15" l="1"/>
  <c r="AM68" i="15"/>
  <c r="AL72" i="15"/>
  <c r="AL25" i="15"/>
  <c r="AM24" i="15"/>
  <c r="BN14" i="39"/>
  <c r="BO41" i="39"/>
  <c r="BP31" i="36"/>
  <c r="AN16" i="15" s="1"/>
  <c r="AN14" i="15" s="1"/>
  <c r="AN12" i="15" s="1"/>
  <c r="AN18" i="15" s="1"/>
  <c r="AN20" i="15" s="1"/>
  <c r="AN67" i="15" s="1"/>
  <c r="AM69" i="15" l="1"/>
  <c r="AN68" i="15"/>
  <c r="AM25" i="15"/>
  <c r="AN24" i="15"/>
  <c r="AM72" i="15"/>
  <c r="BQ31" i="36"/>
  <c r="AO16" i="15" s="1"/>
  <c r="AO14" i="15" s="1"/>
  <c r="AO12" i="15" s="1"/>
  <c r="AO18" i="15" s="1"/>
  <c r="AO20" i="15" s="1"/>
  <c r="AO67" i="15" s="1"/>
  <c r="BP41" i="39"/>
  <c r="BO14" i="39"/>
  <c r="AN69" i="15" l="1"/>
  <c r="AO68" i="15"/>
  <c r="AN72" i="15"/>
  <c r="AN25" i="15"/>
  <c r="AO24" i="15"/>
  <c r="BP14" i="39"/>
  <c r="BR31" i="36"/>
  <c r="AP16" i="15" s="1"/>
  <c r="AP14" i="15" s="1"/>
  <c r="AP12" i="15" s="1"/>
  <c r="AP18" i="15" s="1"/>
  <c r="AP20" i="15" s="1"/>
  <c r="AP67" i="15" s="1"/>
  <c r="BQ41" i="39"/>
  <c r="AP68" i="15" l="1"/>
  <c r="AO69" i="15"/>
  <c r="AO25" i="15"/>
  <c r="AP24" i="15"/>
  <c r="AO72" i="15"/>
  <c r="BQ14" i="39"/>
  <c r="BR41" i="39"/>
  <c r="BS31" i="36"/>
  <c r="AQ16" i="15" s="1"/>
  <c r="AQ14" i="15" s="1"/>
  <c r="AQ12" i="15" s="1"/>
  <c r="AQ18" i="15" s="1"/>
  <c r="AQ20" i="15" s="1"/>
  <c r="AQ67" i="15" s="1"/>
  <c r="AQ68" i="15" l="1"/>
  <c r="AP69" i="15"/>
  <c r="AP25" i="15"/>
  <c r="AQ24" i="15"/>
  <c r="AP72" i="15"/>
  <c r="BT31" i="36"/>
  <c r="AR16" i="15" s="1"/>
  <c r="AR14" i="15" s="1"/>
  <c r="AR12" i="15" s="1"/>
  <c r="AR18" i="15" s="1"/>
  <c r="AR20" i="15" s="1"/>
  <c r="AR67" i="15" s="1"/>
  <c r="BS41" i="39"/>
  <c r="BR14" i="39"/>
  <c r="AQ69" i="15" l="1"/>
  <c r="AR68" i="15"/>
  <c r="AQ72" i="15"/>
  <c r="AQ25" i="15"/>
  <c r="AR24" i="15"/>
  <c r="BS14" i="39"/>
  <c r="BU31" i="36"/>
  <c r="AS16" i="15" s="1"/>
  <c r="AS14" i="15" s="1"/>
  <c r="AS12" i="15" s="1"/>
  <c r="AS18" i="15" s="1"/>
  <c r="AS20" i="15" s="1"/>
  <c r="AS67" i="15" s="1"/>
  <c r="BT41" i="39"/>
  <c r="AS68" i="15" l="1"/>
  <c r="AR69" i="15"/>
  <c r="AR25" i="15"/>
  <c r="AS24" i="15"/>
  <c r="AR72" i="15"/>
  <c r="BT14" i="39"/>
  <c r="BU41" i="39"/>
  <c r="BV31" i="36"/>
  <c r="AT16" i="15" s="1"/>
  <c r="AT14" i="15" s="1"/>
  <c r="AT12" i="15" s="1"/>
  <c r="AT18" i="15" s="1"/>
  <c r="AT20" i="15" s="1"/>
  <c r="AT67" i="15" s="1"/>
  <c r="AS69" i="15" l="1"/>
  <c r="AT68" i="15"/>
  <c r="AT24" i="15"/>
  <c r="AS72" i="15"/>
  <c r="AS25" i="15"/>
  <c r="BW31" i="36"/>
  <c r="AU16" i="15" s="1"/>
  <c r="AU14" i="15" s="1"/>
  <c r="AU12" i="15" s="1"/>
  <c r="AU18" i="15" s="1"/>
  <c r="AU20" i="15" s="1"/>
  <c r="AU67" i="15" s="1"/>
  <c r="BV41" i="39"/>
  <c r="BU14" i="39"/>
  <c r="AT69" i="15" l="1"/>
  <c r="AU68" i="15"/>
  <c r="AU69" i="15" s="1"/>
  <c r="AT72" i="15"/>
  <c r="AT25" i="15"/>
  <c r="AU24" i="15"/>
  <c r="BV14" i="39"/>
  <c r="BW41" i="39"/>
  <c r="AU25" i="15" l="1"/>
  <c r="B27" i="15" s="1"/>
  <c r="B29" i="15" s="1"/>
  <c r="AU72" i="15"/>
  <c r="BW14" i="39"/>
  <c r="B31" i="15" l="1"/>
  <c r="B80" i="15"/>
  <c r="B41" i="15"/>
  <c r="AE51" i="40"/>
  <c r="AE55" i="40"/>
  <c r="AE59" i="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 Correa</author>
  </authors>
  <commentList>
    <comment ref="AO13" authorId="0" shapeId="0" xr:uid="{97A078F5-9A3C-4DDE-82EE-CDC5DD306F16}">
      <text>
        <r>
          <rPr>
            <b/>
            <sz val="9"/>
            <color indexed="81"/>
            <rFont val="Segoe UI"/>
            <family val="2"/>
          </rPr>
          <t>Gabriel Correa:</t>
        </r>
        <r>
          <rPr>
            <sz val="9"/>
            <color indexed="81"/>
            <rFont val="Segoe UI"/>
            <family val="2"/>
          </rPr>
          <t xml:space="preserve">
Inflacionado pela Inflação Americana Projetada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Gabriel Correa</author>
  </authors>
  <commentList>
    <comment ref="A17" authorId="0" shapeId="0" xr:uid="{F0CE9220-930C-4EA3-B0C9-15803C5B562B}">
      <text>
        <r>
          <rPr>
            <b/>
            <sz val="9"/>
            <color indexed="81"/>
            <rFont val="Segoe UI"/>
            <family val="2"/>
          </rPr>
          <t>Gabriel Correa:</t>
        </r>
        <r>
          <rPr>
            <sz val="9"/>
            <color indexed="81"/>
            <rFont val="Segoe UI"/>
            <family val="2"/>
          </rPr>
          <t xml:space="preserve">
2.9.4 - Depreciação: Os gastos capitalizados oriundos de exploração e desenvolvimento da produção, bem como os FPSOs e equipamentos submarinos, são depreciados, a partir da declaração de comercialidade e início da produção, pelo método de unidades produzidas (UOP - Units of Production). Nesse método a taxa de depreciação mensal é obtida dividindo-se a produção mensal pelo saldo total estimado das reservas (provada desenvolvida) no início do mês. Anualmente, a Companhia revisa o saldo total das reservas. Máquinas e equipamentos são depreciados pelo método linear às taxas mencionadas na nota de imobilizado, que levam em consideração o tempo de vida útil estimado dos bens com seus respectivos valores residuais.</t>
        </r>
      </text>
    </comment>
    <comment ref="A43" authorId="0" shapeId="0" xr:uid="{DB0E36F5-D8FB-41EE-B7DD-95AE9B1BA0C7}">
      <text>
        <r>
          <rPr>
            <b/>
            <sz val="9"/>
            <color indexed="81"/>
            <rFont val="Segoe UI"/>
            <family val="2"/>
          </rPr>
          <t>Gabriel Correa:</t>
        </r>
        <r>
          <rPr>
            <sz val="9"/>
            <color indexed="81"/>
            <rFont val="Segoe UI"/>
            <family val="2"/>
          </rPr>
          <t xml:space="preserve">
*** Imobilizado em andamento refere-se basicamente à gastos com a instalações administrativas;</t>
        </r>
      </text>
    </comment>
    <comment ref="A57" authorId="0" shapeId="0" xr:uid="{A9953E7D-D6E3-4906-9EB7-F599B133045F}">
      <text>
        <r>
          <rPr>
            <b/>
            <sz val="9"/>
            <color indexed="81"/>
            <rFont val="Segoe UI"/>
            <family val="2"/>
          </rPr>
          <t>Gabriel Correa:</t>
        </r>
        <r>
          <rPr>
            <sz val="9"/>
            <color indexed="81"/>
            <rFont val="Segoe UI"/>
            <family val="2"/>
          </rPr>
          <t xml:space="preserve">
2.9.4 - Depreciação: Os gastos capitalizados oriundos de exploração e desenvolvimento da produção, bem como os FPSOs e equipamentos submarinos, são depreciados, a partir da declaração de comercialidade e início da produção, pelo método de unidades produzidas (UOP - Units of Production). Nesse método a taxa de depreciação mensal é obtida dividindo-se a produção mensal pelo saldo total estimado das reservas (provada desenvolvida) no início do mês. Anualmente, a Companhia revisa o saldo total das reservas. Máquinas e equipamentos são depreciados pelo método linear às taxas mencionadas na nota de imobilizado, que levam em consideração o tempo de vida útil estimado dos bens com seus respectivos valores residuais.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Gabriel Correa</author>
  </authors>
  <commentList>
    <comment ref="A6" authorId="0" shapeId="0" xr:uid="{362C8F76-F4FC-4CEB-B328-86E3A1CB0A0D}">
      <text>
        <r>
          <rPr>
            <b/>
            <sz val="9"/>
            <color indexed="81"/>
            <rFont val="Segoe UI"/>
            <family val="2"/>
          </rPr>
          <t>Gabriel Correa:</t>
        </r>
        <r>
          <rPr>
            <sz val="9"/>
            <color indexed="81"/>
            <rFont val="Segoe UI"/>
            <family val="2"/>
          </rPr>
          <t xml:space="preserve">
https://www.federalreserve.gov/monetarypolicy/openmarket.htm
https://fred.stlouisfed.org/series/DFEDTARU</t>
        </r>
      </text>
    </comment>
    <comment ref="AB7" authorId="0" shapeId="0" xr:uid="{EC569BB0-2BFC-4843-8C74-1FDC06B77728}">
      <text>
        <r>
          <rPr>
            <sz val="9"/>
            <color indexed="81"/>
            <rFont val="Segoe UI"/>
            <family val="2"/>
          </rPr>
          <t>Reportado</t>
        </r>
      </text>
    </comment>
    <comment ref="AC7" authorId="0" shapeId="0" xr:uid="{0BB380FE-2036-4E3F-A2E0-F882676C0DD1}">
      <text>
        <r>
          <rPr>
            <sz val="9"/>
            <color indexed="81"/>
            <rFont val="Segoe UI"/>
            <family val="2"/>
          </rPr>
          <t>Reportado</t>
        </r>
      </text>
    </comment>
    <comment ref="AD7" authorId="0" shapeId="0" xr:uid="{13F0874A-1007-4F3D-A80D-467F16F85ADD}">
      <text>
        <r>
          <rPr>
            <sz val="9"/>
            <color indexed="81"/>
            <rFont val="Segoe UI"/>
            <family val="2"/>
          </rPr>
          <t>Reportado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Gabriel Correa</author>
  </authors>
  <commentList>
    <comment ref="AG30" authorId="0" shapeId="0" xr:uid="{700FC319-62FF-427B-826F-107F93FBB11E}">
      <text>
        <r>
          <rPr>
            <b/>
            <sz val="9"/>
            <color indexed="81"/>
            <rFont val="Segoe UI"/>
            <family val="2"/>
          </rPr>
          <t>Gabriel Correa:</t>
        </r>
        <r>
          <rPr>
            <sz val="9"/>
            <color indexed="81"/>
            <rFont val="Segoe UI"/>
            <family val="2"/>
          </rPr>
          <t xml:space="preserve">
Premissa é:
Enquantoa a empresa crescer a receita mais que a inflação,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Gabriel Correa</author>
  </authors>
  <commentList>
    <comment ref="B10" authorId="0" shapeId="0" xr:uid="{BC6D06CE-491E-46B8-85D9-99A24CF1C039}">
      <text>
        <r>
          <rPr>
            <sz val="9"/>
            <color indexed="81"/>
            <rFont val="Segoe UI"/>
            <family val="2"/>
          </rPr>
          <t>CDS Investing Último Dia: 15/3/24</t>
        </r>
      </text>
    </comment>
  </commentList>
</comments>
</file>

<file path=xl/sharedStrings.xml><?xml version="1.0" encoding="utf-8"?>
<sst xmlns="http://schemas.openxmlformats.org/spreadsheetml/2006/main" count="10042" uniqueCount="1199">
  <si>
    <t>Sales Gas (10³ ft³)</t>
  </si>
  <si>
    <t>Year</t>
  </si>
  <si>
    <t>Total</t>
  </si>
  <si>
    <t>IPCA Período (médio)</t>
  </si>
  <si>
    <t>Taxa de câmbio do Dólar (média do período)</t>
  </si>
  <si>
    <t/>
  </si>
  <si>
    <t>IPCA</t>
  </si>
  <si>
    <t>Conversões - gás</t>
  </si>
  <si>
    <t>Sales Gas (MMBTU)</t>
  </si>
  <si>
    <t>Receita - Gas (US$mm)</t>
  </si>
  <si>
    <t>Capex (US$mm) - real</t>
  </si>
  <si>
    <t>Capex (US$mm) - nominal</t>
  </si>
  <si>
    <t>Abandono (US$mm) - real</t>
  </si>
  <si>
    <t>Abandono (US$mm) - nominal</t>
  </si>
  <si>
    <t>Royalties</t>
  </si>
  <si>
    <t>Abandono</t>
  </si>
  <si>
    <t>Outros</t>
  </si>
  <si>
    <t>Beta</t>
  </si>
  <si>
    <t>Market Risk Premium (real)</t>
  </si>
  <si>
    <t>FCFF Descontado</t>
  </si>
  <si>
    <t>FCFF (R$mm) - ajustado</t>
  </si>
  <si>
    <t>Equity Value</t>
  </si>
  <si>
    <t>% shares outstanding</t>
  </si>
  <si>
    <t>R$/ação</t>
  </si>
  <si>
    <t>as of</t>
  </si>
  <si>
    <t>in</t>
  </si>
  <si>
    <t>BRAZIL</t>
  </si>
  <si>
    <t>with interests attributable to</t>
  </si>
  <si>
    <t>Future</t>
  </si>
  <si>
    <t>Present</t>
  </si>
  <si>
    <t>Sales</t>
  </si>
  <si>
    <t>Gross</t>
  </si>
  <si>
    <t>Cash</t>
  </si>
  <si>
    <t>Paid in</t>
  </si>
  <si>
    <t>Operating</t>
  </si>
  <si>
    <t>Capital</t>
  </si>
  <si>
    <t>Abandonment</t>
  </si>
  <si>
    <t>Net</t>
  </si>
  <si>
    <t>Worth</t>
  </si>
  <si>
    <t>Oil</t>
  </si>
  <si>
    <t>Gas</t>
  </si>
  <si>
    <t>Revenue</t>
  </si>
  <si>
    <t>Expenses</t>
  </si>
  <si>
    <t>Costs</t>
  </si>
  <si>
    <t>SPF</t>
  </si>
  <si>
    <t>at 10 Percent</t>
  </si>
  <si>
    <t>(U.S.$/bbl)</t>
  </si>
  <si>
    <t>Notes:</t>
  </si>
  <si>
    <t>5 Percent</t>
  </si>
  <si>
    <t>15 Percent</t>
  </si>
  <si>
    <t>20 Percent</t>
  </si>
  <si>
    <t>TABLE 10</t>
  </si>
  <si>
    <t>Production</t>
  </si>
  <si>
    <t>TABLE 11</t>
  </si>
  <si>
    <t>TABLE 12</t>
  </si>
  <si>
    <t>TABLE 15</t>
  </si>
  <si>
    <t>TABLE 16</t>
  </si>
  <si>
    <t>TABLE 17</t>
  </si>
  <si>
    <t>TABLE 20</t>
  </si>
  <si>
    <t>TABLE 21</t>
  </si>
  <si>
    <t>TABLE 22</t>
  </si>
  <si>
    <t>ALBACORA LESTE FIELD</t>
  </si>
  <si>
    <t>for</t>
  </si>
  <si>
    <t>PROJECTION of TOTAL PROVED RESERVES and FUTURE NET REVENUE</t>
  </si>
  <si>
    <t>PROJECTION of PROVED-plus-PROBABLE RESERVES and FUTURE NET REVENUE</t>
  </si>
  <si>
    <t>PROJECTION of PROVED-plus-PROBABLE-plus-POSSIBLE RESERVES and FUTURE NET REVENUE</t>
  </si>
  <si>
    <t xml:space="preserve">Frade &amp; Wahoo </t>
  </si>
  <si>
    <t xml:space="preserve">Manati </t>
  </si>
  <si>
    <t xml:space="preserve">Albacora Leste </t>
  </si>
  <si>
    <t xml:space="preserve">Polvo &amp; TBMT </t>
  </si>
  <si>
    <t>Sales Gas (US$/MMBTU)</t>
  </si>
  <si>
    <t>(%)</t>
  </si>
  <si>
    <t>Royalties (%)</t>
  </si>
  <si>
    <t>SPF (%)</t>
  </si>
  <si>
    <t>Preço atual</t>
  </si>
  <si>
    <t>Upside/Downside (%)</t>
  </si>
  <si>
    <t>Volume Weighted</t>
  </si>
  <si>
    <t>Average Prices</t>
  </si>
  <si>
    <t>Cost</t>
  </si>
  <si>
    <t xml:space="preserve">  1. Future social contribution taxes and corporate incomes taxes were not taken into account in the preparation of these estimates.</t>
  </si>
  <si>
    <t xml:space="preserve">  2. SPF = SPECIAL PARTICIPATION FEE.</t>
  </si>
  <si>
    <t xml:space="preserve">  3. Operating expenses and capital costs do not include the indirect taxation that may be applicable to these expenditures.</t>
  </si>
  <si>
    <t xml:space="preserve">  1. Probable reserves and values for probable reserves have not been risk adjusted to make them comparable to proved reserves and values for proved reserves.</t>
  </si>
  <si>
    <t xml:space="preserve">  2. Future social contribution taxes and corporate incomes taxes were not taken into account in the preparation of these estimates.</t>
  </si>
  <si>
    <t xml:space="preserve">  3. SPF = SPECIAL PARTICIPATION FEE.</t>
  </si>
  <si>
    <t xml:space="preserve">  4. Operating expenses and capital costs do not include the indirect taxation that may be applicable to these expenditures.</t>
  </si>
  <si>
    <t xml:space="preserve">  1. Probable and possible reserves and values for probable and possible reserves have not been risk adjusted to make them comparable to proved reserves and values for proved reserves.</t>
  </si>
  <si>
    <t>FRADE AND WAHOO FIELDS</t>
  </si>
  <si>
    <t>POLVO AND TUBARÃO MARTELO FIELDS</t>
  </si>
  <si>
    <t>Resultado financeiro (R$ milhões)</t>
  </si>
  <si>
    <t>Receitas financeiras</t>
  </si>
  <si>
    <t>Despesas financeiras</t>
  </si>
  <si>
    <t>Variação cambial</t>
  </si>
  <si>
    <t>Caixa e equivalente de caixa</t>
  </si>
  <si>
    <t>Rentabilidade do caixa (R$ milhões)</t>
  </si>
  <si>
    <t>Debentures</t>
  </si>
  <si>
    <t>Empréstimos e financiamentos</t>
  </si>
  <si>
    <t>Vencimento</t>
  </si>
  <si>
    <t>Resultado Financeiro</t>
  </si>
  <si>
    <t>EBIT</t>
  </si>
  <si>
    <t>Variação da Dívida Líquida</t>
  </si>
  <si>
    <t>Endividamento Líquido (R$ milhões)</t>
  </si>
  <si>
    <t>Endividamento total (R$ milhões)</t>
  </si>
  <si>
    <t>Depreciação</t>
  </si>
  <si>
    <t>允䅁䅁䅉䅁捁䅁䅁村偂䙁䅙兒呂䙁䅁兑㙁䙁䅁杕䩂䕁䄸睍䅁䅁䅁䅁捁䅁䅁睕兂䙁䄸睕䥂䕁䅅杕䙂䙁䅍睘偂䙁䅕䅖䅁䅁䅅䅁䅁䅁䅁</t>
  </si>
  <si>
    <t>Rentabilidade do caixa em dólar (%)</t>
  </si>
  <si>
    <t>Caixa e aplicações financeiras (R$ milhões)</t>
  </si>
  <si>
    <t>Inflação Americana</t>
  </si>
  <si>
    <t>Taxa de Câmbio</t>
  </si>
  <si>
    <t>Base 2022 - Inflação Americana</t>
  </si>
  <si>
    <t>Codigo Conta</t>
  </si>
  <si>
    <t>Descricao Conta</t>
  </si>
  <si>
    <t>Ativo Total</t>
  </si>
  <si>
    <t>1.01</t>
  </si>
  <si>
    <t>Ativo Circulante</t>
  </si>
  <si>
    <t>1.01.01</t>
  </si>
  <si>
    <t>Caixa e Equivalentes de Caixa</t>
  </si>
  <si>
    <t>1.01.02</t>
  </si>
  <si>
    <t>Aplicações Financeiras</t>
  </si>
  <si>
    <t>1.01.03</t>
  </si>
  <si>
    <t>Contas a Receber</t>
  </si>
  <si>
    <t>1.01.04</t>
  </si>
  <si>
    <t>Estoques</t>
  </si>
  <si>
    <t>1.01.06</t>
  </si>
  <si>
    <t>Tributos a Recuperar</t>
  </si>
  <si>
    <t>1.01.07</t>
  </si>
  <si>
    <t>Despesas Antecipadas</t>
  </si>
  <si>
    <t>1.01.08</t>
  </si>
  <si>
    <t>Outros Ativos Circulantes</t>
  </si>
  <si>
    <t>1.02</t>
  </si>
  <si>
    <t>Ativo Não Circulante</t>
  </si>
  <si>
    <t>1.02.01</t>
  </si>
  <si>
    <t>Ativo Realizável a Longo Prazo</t>
  </si>
  <si>
    <t>Tributos Diferidos</t>
  </si>
  <si>
    <t>1.02.03</t>
  </si>
  <si>
    <t>Imobilizado</t>
  </si>
  <si>
    <t>1.02.04</t>
  </si>
  <si>
    <t>Intangível</t>
  </si>
  <si>
    <t>1T23</t>
  </si>
  <si>
    <t>2T23</t>
  </si>
  <si>
    <t>Passivo Total</t>
  </si>
  <si>
    <t>2.01</t>
  </si>
  <si>
    <t>Passivo Circulante</t>
  </si>
  <si>
    <t>2.01.01</t>
  </si>
  <si>
    <t>Obrigações Sociais e Trabalhistas</t>
  </si>
  <si>
    <t>2.01.02</t>
  </si>
  <si>
    <t>Fornecedores</t>
  </si>
  <si>
    <t>2.01.03</t>
  </si>
  <si>
    <t>Obrigações Fiscais</t>
  </si>
  <si>
    <t>2.01.04</t>
  </si>
  <si>
    <t>Empréstimos e Financiamentos</t>
  </si>
  <si>
    <t>2.01.05</t>
  </si>
  <si>
    <t>Outras Obrigações</t>
  </si>
  <si>
    <t>Provisões</t>
  </si>
  <si>
    <t>2.01.07</t>
  </si>
  <si>
    <t>Passivos sobre Ativos Não-Correntes a Venda e Descontinuados</t>
  </si>
  <si>
    <t>2.02</t>
  </si>
  <si>
    <t>Passivo Não Circulante</t>
  </si>
  <si>
    <t>2.02.01</t>
  </si>
  <si>
    <t>2.02.02</t>
  </si>
  <si>
    <t>2.02.03</t>
  </si>
  <si>
    <t>2.02.04</t>
  </si>
  <si>
    <t>2.03</t>
  </si>
  <si>
    <t>2.03.01</t>
  </si>
  <si>
    <t>Capital Social Realizado</t>
  </si>
  <si>
    <t>2.03.02</t>
  </si>
  <si>
    <t>Reservas de Capital</t>
  </si>
  <si>
    <t>2.03.04</t>
  </si>
  <si>
    <t>Reservas de Lucros</t>
  </si>
  <si>
    <t>2.03.05</t>
  </si>
  <si>
    <t>Lucros/Prejuízos Acumulados</t>
  </si>
  <si>
    <t>2.03.06</t>
  </si>
  <si>
    <t>Ajustes de Avaliação Patrimonial</t>
  </si>
  <si>
    <t>2.03.07</t>
  </si>
  <si>
    <t>Ajustes Acumulados de Conversão</t>
  </si>
  <si>
    <t>Passivo</t>
  </si>
  <si>
    <t>Patrimônio Líquido Consolidado</t>
  </si>
  <si>
    <t>2.03.09</t>
  </si>
  <si>
    <t>Participação dos Acionistas Não Controladores</t>
  </si>
  <si>
    <t>Receita de Venda de Bens e/ou Serviços</t>
  </si>
  <si>
    <t>Custo dos Bens e/ou Serviços Vendidos</t>
  </si>
  <si>
    <t>Resultado Bruto</t>
  </si>
  <si>
    <t>Despesas/Receitas Operacionais</t>
  </si>
  <si>
    <t>Despesas com Vendas</t>
  </si>
  <si>
    <t>Despesas Gerais e Administrativas</t>
  </si>
  <si>
    <t>Despesas de Geologia e Geofisica</t>
  </si>
  <si>
    <t>Despesa com Pessoal</t>
  </si>
  <si>
    <t>Despesas com Serviços de Terceiros</t>
  </si>
  <si>
    <t>Impostos e Taxas</t>
  </si>
  <si>
    <t>Despesa de Depreciação</t>
  </si>
  <si>
    <t>Perdas pela Não Recuperabilidade de Ativos</t>
  </si>
  <si>
    <t>Outras Receitas Operacionais</t>
  </si>
  <si>
    <t>Outras Despesas Operacionais</t>
  </si>
  <si>
    <t>Resultado de Equivalência Patrimonial</t>
  </si>
  <si>
    <t>Resultado Antes do Resultado Financeiro e dos Tributos</t>
  </si>
  <si>
    <t>Receitas Financeiras</t>
  </si>
  <si>
    <t>Despesas Financeiras</t>
  </si>
  <si>
    <t>Resultado Antes dos Tributos sobre o Lucro</t>
  </si>
  <si>
    <t>Imposto de Renda e Contribuição Social sobre o Lucro</t>
  </si>
  <si>
    <t>Corrente</t>
  </si>
  <si>
    <t>Diferido</t>
  </si>
  <si>
    <t>Resultado Líquido das Operações Continuadas</t>
  </si>
  <si>
    <t>Resultado Líquido de Operações Descontinuadas</t>
  </si>
  <si>
    <t>Lucro/Prejuízo Líquido das Operações Descontinuadas</t>
  </si>
  <si>
    <t>Ganhos/Perdas Líquidas sobre Ativos de Operações Descontinuadas</t>
  </si>
  <si>
    <t>Lucro/Prejuízo Consolidado do Período</t>
  </si>
  <si>
    <t>Atribuído a Sócios da Empresa Controladora</t>
  </si>
  <si>
    <t>Atribuído a Sócios Não Controladores</t>
  </si>
  <si>
    <t>6.01</t>
  </si>
  <si>
    <t>Caixa Líquido Atividades Operacionais</t>
  </si>
  <si>
    <t>6.01.01.02</t>
  </si>
  <si>
    <t>Depreciação e amortização</t>
  </si>
  <si>
    <t>6.02</t>
  </si>
  <si>
    <t>Caixa Líquido Atividades de Investimento</t>
  </si>
  <si>
    <t>6.03</t>
  </si>
  <si>
    <t>Caixa Líquido Atividades de Financiamento</t>
  </si>
  <si>
    <t>6.03.07</t>
  </si>
  <si>
    <t>Encargos contratuais Leasing IFRS 16</t>
  </si>
  <si>
    <t>6.04</t>
  </si>
  <si>
    <t>Variação Cambial s/ Caixa e Equivalentes</t>
  </si>
  <si>
    <t>6.05</t>
  </si>
  <si>
    <t>Aumento (Redução) de Caixa e Equivalentes</t>
  </si>
  <si>
    <t>6.05.01</t>
  </si>
  <si>
    <t>Saldo Inicial de Caixa e Equivalentes</t>
  </si>
  <si>
    <t>6.05.02</t>
  </si>
  <si>
    <t>Saldo Final de Caixa e Equivalentes</t>
  </si>
  <si>
    <t>4T22</t>
  </si>
  <si>
    <t>4T21</t>
  </si>
  <si>
    <t>4T20</t>
  </si>
  <si>
    <t>3T22</t>
  </si>
  <si>
    <t>2T22</t>
  </si>
  <si>
    <t>3T21</t>
  </si>
  <si>
    <t>1T22</t>
  </si>
  <si>
    <t>2T21</t>
  </si>
  <si>
    <t>1T21</t>
  </si>
  <si>
    <t>-68</t>
  </si>
  <si>
    <t>2T20</t>
  </si>
  <si>
    <t>1T20</t>
  </si>
  <si>
    <t>4T18</t>
  </si>
  <si>
    <t>4T19</t>
  </si>
  <si>
    <t>3T20</t>
  </si>
  <si>
    <t>3T19</t>
  </si>
  <si>
    <t>2T19</t>
  </si>
  <si>
    <t>1T19</t>
  </si>
  <si>
    <t>3T18</t>
  </si>
  <si>
    <t>2T18</t>
  </si>
  <si>
    <t>1T18</t>
  </si>
  <si>
    <t>DRE</t>
  </si>
  <si>
    <t>Fluxo de Caixa</t>
  </si>
  <si>
    <t>Balanço Patrimonial</t>
  </si>
  <si>
    <t>Lifting Cost (US$/bbl)</t>
  </si>
  <si>
    <t xml:space="preserve">Campo de Frade </t>
  </si>
  <si>
    <t>Albacora Leste</t>
  </si>
  <si>
    <t>Brent Médio</t>
  </si>
  <si>
    <t>Preço Médio Bruto de Venda</t>
  </si>
  <si>
    <t>Tx Câmbio Final</t>
  </si>
  <si>
    <t>Campo de FRADE</t>
  </si>
  <si>
    <t>Offtakes (kkbl)</t>
  </si>
  <si>
    <t>Campo de Manati</t>
  </si>
  <si>
    <t>Campo de Albacora Leste</t>
  </si>
  <si>
    <t>Cluster Polvo e TBMT</t>
  </si>
  <si>
    <t>Total PRIO</t>
  </si>
  <si>
    <t>Desempenho Operacional</t>
  </si>
  <si>
    <t>Cluster Polvo + TBMT (95%)</t>
  </si>
  <si>
    <t>Campo de Manati (10%)</t>
  </si>
  <si>
    <t>Total PRIO (boepd)</t>
  </si>
  <si>
    <t>Saldo Final de Caixa e Equivalentes - Balanço</t>
  </si>
  <si>
    <t>% da produção</t>
  </si>
  <si>
    <t>Tri</t>
  </si>
  <si>
    <t>Dias Corridos</t>
  </si>
  <si>
    <t>3T23</t>
  </si>
  <si>
    <t>4T23</t>
  </si>
  <si>
    <t>Receita em US$</t>
  </si>
  <si>
    <t>Produção Total (kbbl)</t>
  </si>
  <si>
    <t>Preço de Venda Brent</t>
  </si>
  <si>
    <t>Receita em BRL</t>
  </si>
  <si>
    <t>Dólar Médio</t>
  </si>
  <si>
    <t>Tx Câmbio Média</t>
  </si>
  <si>
    <t>Receita Demonstração Financeira</t>
  </si>
  <si>
    <t>Spread</t>
  </si>
  <si>
    <t>DRE em US$</t>
  </si>
  <si>
    <t xml:space="preserve"> Receita Total</t>
  </si>
  <si>
    <t>Impostos de venda interna e exportação</t>
  </si>
  <si>
    <t>Despesa de Comercialização</t>
  </si>
  <si>
    <t>Receita Total - FOB</t>
  </si>
  <si>
    <t>Custo de Produto Vendido</t>
  </si>
  <si>
    <t>Lucro Bruto</t>
  </si>
  <si>
    <t>Despesa Gerais e Administrativas</t>
  </si>
  <si>
    <t>EBITDA</t>
  </si>
  <si>
    <t>Outras Receitas e Despesas Operacionais</t>
  </si>
  <si>
    <t>Depreciação e Amortização</t>
  </si>
  <si>
    <t>Despesas de Depreciação</t>
  </si>
  <si>
    <t>Jan 29</t>
  </si>
  <si>
    <t>Dec 28</t>
  </si>
  <si>
    <t>Nov 28</t>
  </si>
  <si>
    <t>Oct 28</t>
  </si>
  <si>
    <t>Sep 28</t>
  </si>
  <si>
    <t>Aug 28</t>
  </si>
  <si>
    <t>Jul 28</t>
  </si>
  <si>
    <t>Jun 28</t>
  </si>
  <si>
    <t>May 28</t>
  </si>
  <si>
    <t>Apr 28</t>
  </si>
  <si>
    <t>Mar 28</t>
  </si>
  <si>
    <t>Feb 28</t>
  </si>
  <si>
    <t>Jan 28</t>
  </si>
  <si>
    <t>Dec 27</t>
  </si>
  <si>
    <t>Nov 27</t>
  </si>
  <si>
    <t>Oct 27</t>
  </si>
  <si>
    <t>Sep 27</t>
  </si>
  <si>
    <t>Aug 27</t>
  </si>
  <si>
    <t>Jul 27</t>
  </si>
  <si>
    <t>Jun 27</t>
  </si>
  <si>
    <t>May 27</t>
  </si>
  <si>
    <t>Apr 27</t>
  </si>
  <si>
    <t>Mar 27</t>
  </si>
  <si>
    <t>Feb 27</t>
  </si>
  <si>
    <t>Jan 27</t>
  </si>
  <si>
    <t>Dec 26</t>
  </si>
  <si>
    <t>Nov 26</t>
  </si>
  <si>
    <t>Oct 26</t>
  </si>
  <si>
    <t>Sep 26</t>
  </si>
  <si>
    <t>Aug 26</t>
  </si>
  <si>
    <t>Jul 26</t>
  </si>
  <si>
    <t>Jun 26</t>
  </si>
  <si>
    <t>May 26</t>
  </si>
  <si>
    <t>Apr 26</t>
  </si>
  <si>
    <t>Mar 26</t>
  </si>
  <si>
    <t>Feb 26</t>
  </si>
  <si>
    <t>Jan 26</t>
  </si>
  <si>
    <t>Dec 25</t>
  </si>
  <si>
    <t>Nov 25</t>
  </si>
  <si>
    <t>Oct 25</t>
  </si>
  <si>
    <t>Sep 25</t>
  </si>
  <si>
    <t>Aug 25</t>
  </si>
  <si>
    <t>Jul 25</t>
  </si>
  <si>
    <t>Jun 25</t>
  </si>
  <si>
    <t>May 25</t>
  </si>
  <si>
    <t>Apr 25</t>
  </si>
  <si>
    <t>Mar 25</t>
  </si>
  <si>
    <t>Feb 25</t>
  </si>
  <si>
    <t>Jan 25</t>
  </si>
  <si>
    <t>Dec 24</t>
  </si>
  <si>
    <t>Nov 24</t>
  </si>
  <si>
    <t>Oct 24</t>
  </si>
  <si>
    <t>Sep 24</t>
  </si>
  <si>
    <t>Aug 24</t>
  </si>
  <si>
    <t>Jul 24</t>
  </si>
  <si>
    <t>Jun 24</t>
  </si>
  <si>
    <t>May 24</t>
  </si>
  <si>
    <t>Apr 24</t>
  </si>
  <si>
    <t>Date</t>
  </si>
  <si>
    <t>Nov 29</t>
  </si>
  <si>
    <t>Dec 29</t>
  </si>
  <si>
    <t>Jan 30</t>
  </si>
  <si>
    <t>Feb 29</t>
  </si>
  <si>
    <t>Apr 29</t>
  </si>
  <si>
    <t>May 29</t>
  </si>
  <si>
    <t>Aug 29</t>
  </si>
  <si>
    <t>Sep 29</t>
  </si>
  <si>
    <t>Oct 29</t>
  </si>
  <si>
    <t>Mar 29</t>
  </si>
  <si>
    <t>Jun 29</t>
  </si>
  <si>
    <t>Jul 29</t>
  </si>
  <si>
    <t>Feb 30</t>
  </si>
  <si>
    <t>Mar 30</t>
  </si>
  <si>
    <t>Month</t>
  </si>
  <si>
    <t>Câmbio Médio</t>
  </si>
  <si>
    <t>Brent</t>
  </si>
  <si>
    <t>IPCA Período</t>
  </si>
  <si>
    <t>1T24</t>
  </si>
  <si>
    <t>2T24</t>
  </si>
  <si>
    <t>3T24</t>
  </si>
  <si>
    <t>4T24</t>
  </si>
  <si>
    <t>1T25</t>
  </si>
  <si>
    <t>2T25</t>
  </si>
  <si>
    <t>3T25</t>
  </si>
  <si>
    <t>4T25</t>
  </si>
  <si>
    <t>Inflation Período</t>
  </si>
  <si>
    <t>%Imobilizado</t>
  </si>
  <si>
    <t>Royalties e Participações Especiais</t>
  </si>
  <si>
    <t>% da Receita</t>
  </si>
  <si>
    <t>Data</t>
  </si>
  <si>
    <t>Ano</t>
  </si>
  <si>
    <t>Dias</t>
  </si>
  <si>
    <t>Receita - Gas (R$mm)</t>
  </si>
  <si>
    <t>Premissas WACC</t>
  </si>
  <si>
    <t>Long Term Treasury bond rate</t>
  </si>
  <si>
    <t xml:space="preserve">Risk Premium to Use for Equity </t>
  </si>
  <si>
    <t>CDS 10Y Brazil</t>
  </si>
  <si>
    <t>Industry Name</t>
  </si>
  <si>
    <t>Number of firms</t>
  </si>
  <si>
    <t xml:space="preserve">Beta </t>
  </si>
  <si>
    <t>D/E Ratio</t>
  </si>
  <si>
    <t>Effective Tax rate</t>
  </si>
  <si>
    <t>Unlevered beta</t>
  </si>
  <si>
    <t>Cash/Firm value</t>
  </si>
  <si>
    <t>Unlevered beta corrected for cash</t>
  </si>
  <si>
    <t>HiLo Risk</t>
  </si>
  <si>
    <t>Standard deviation of equity</t>
  </si>
  <si>
    <t>Standard deviation in operating income (last 10 years)</t>
  </si>
  <si>
    <t>Advertising</t>
  </si>
  <si>
    <t>Aerospace/Defense</t>
  </si>
  <si>
    <t>Air Transport</t>
  </si>
  <si>
    <t>Apparel</t>
  </si>
  <si>
    <t>Auto &amp; Truck</t>
  </si>
  <si>
    <t>Auto Parts</t>
  </si>
  <si>
    <t>Banks (Regional)</t>
  </si>
  <si>
    <t>Beverage (Alcoholic)</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</si>
  <si>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</si>
  <si>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</si>
  <si>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</si>
  <si>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</si>
  <si>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</si>
  <si>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</si>
  <si>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</si>
  <si>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</si>
  <si>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</si>
  <si>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</si>
  <si>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</si>
  <si>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Diversified</t>
  </si>
  <si>
    <t>Electrical Equipment</t>
  </si>
  <si>
    <t>Electronics (Consumer &amp; Office)</t>
  </si>
  <si>
    <t>Entertainment</t>
  </si>
  <si>
    <t>Environmental &amp; Waste Services</t>
  </si>
  <si>
    <t>Farming/Agriculture</t>
  </si>
  <si>
    <t>Financial Svcs. (Non-bank &amp; Insurance)</t>
  </si>
  <si>
    <t>Food Processing</t>
  </si>
  <si>
    <t>Food Wholesalers</t>
  </si>
  <si>
    <t>Furn/Home Furnishings</t>
  </si>
  <si>
    <t>Healthcare Products</t>
  </si>
  <si>
    <t>Homebuilding</t>
  </si>
  <si>
    <t>Hotel/Gaming</t>
  </si>
  <si>
    <t>Household Products</t>
  </si>
  <si>
    <t>Information Services</t>
  </si>
  <si>
    <t>Insurance (General)</t>
  </si>
  <si>
    <t>Insurance (Life)</t>
  </si>
  <si>
    <t>Insurance (Prop/Cas.)</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</si>
  <si>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</si>
  <si>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</si>
  <si>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</si>
  <si>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</si>
  <si>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</si>
  <si>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</si>
  <si>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</si>
  <si>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</si>
  <si>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</si>
  <si>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</si>
  <si>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</si>
  <si>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R.E.I.T.</t>
  </si>
  <si>
    <t>Real Estate (Development)</t>
  </si>
  <si>
    <t>Real Estate (Operations &amp; Services)</t>
  </si>
  <si>
    <t>Recreation</t>
  </si>
  <si>
    <t>Reinsurance</t>
  </si>
  <si>
    <t>Retail (Automotive)</t>
  </si>
  <si>
    <t>Retail (Building Supply)</t>
  </si>
  <si>
    <t>Retail (Distributors)</t>
  </si>
  <si>
    <t>Retail (General)</t>
  </si>
  <si>
    <t>Retail (Grocery and Food)</t>
  </si>
  <si>
    <t>Retail (Special Lines)</t>
  </si>
  <si>
    <t>Rubber&amp; Tires</t>
  </si>
  <si>
    <t>Semiconductor</t>
  </si>
  <si>
    <t>Semiconductor Equip</t>
  </si>
  <si>
    <t>Shipbuilding &amp; Marine</t>
  </si>
  <si>
    <t>Shoe</t>
  </si>
  <si>
    <t>Steel</t>
  </si>
  <si>
    <t>Telecom (Wireless)</t>
  </si>
  <si>
    <t>Telecom. Equipment</t>
  </si>
  <si>
    <t>Telecom. Services</t>
  </si>
  <si>
    <t>Tobacco</t>
  </si>
  <si>
    <t>Trucking</t>
  </si>
  <si>
    <t>Utility (General)</t>
  </si>
  <si>
    <t>Utility (Water)</t>
  </si>
  <si>
    <t>Total Market</t>
  </si>
  <si>
    <t>Heathcare Information and Technology</t>
  </si>
  <si>
    <t>Bank (Money Center)</t>
  </si>
  <si>
    <t>Beverage (Soft)</t>
  </si>
  <si>
    <t>Construction Supplies</t>
  </si>
  <si>
    <t>Drugs (Biotechnology)</t>
  </si>
  <si>
    <t>Drugs (Pharmaceutical)</t>
  </si>
  <si>
    <t>Education</t>
  </si>
  <si>
    <t>Electronics (General)</t>
  </si>
  <si>
    <t>Engineering/Construction</t>
  </si>
  <si>
    <t>Green &amp; Renewable Energy</t>
  </si>
  <si>
    <t>Healthcare Support Services</t>
  </si>
  <si>
    <t>Hospitals/Healthcare Facilities</t>
  </si>
  <si>
    <t>Investments &amp; Asset Management</t>
  </si>
  <si>
    <t>Real Estate (General/Diversified)</t>
  </si>
  <si>
    <t>Restaurant/Dining</t>
  </si>
  <si>
    <t>Retail (Online)</t>
  </si>
  <si>
    <t>Software (Entertainment)</t>
  </si>
  <si>
    <t>Software (Internet)</t>
  </si>
  <si>
    <t>Software (System &amp; Application)</t>
  </si>
  <si>
    <t>Transportation</t>
  </si>
  <si>
    <t>Transportation (Railroads)</t>
  </si>
  <si>
    <t>Publishing &amp; Newspapers</t>
  </si>
  <si>
    <t>Total Market (without financials)</t>
  </si>
  <si>
    <t>NA</t>
  </si>
  <si>
    <t>Financial Svcs, (Non-bank &amp; Insuran</t>
  </si>
  <si>
    <t>Heathcare Information and Technol</t>
  </si>
  <si>
    <t>Insurance (Prop/Cas,)</t>
  </si>
  <si>
    <t>Oil/Gas (Production and Exploratio</t>
  </si>
  <si>
    <t>Oilfield Svcs/Equip,</t>
  </si>
  <si>
    <t>R,E,I,T,</t>
  </si>
  <si>
    <t>Telecom, Equipment</t>
  </si>
  <si>
    <t>Telecom, Services</t>
  </si>
  <si>
    <t>Brent MMBTU / bbl</t>
  </si>
  <si>
    <t>Dólar</t>
  </si>
  <si>
    <t>Receita Bruta</t>
  </si>
  <si>
    <t>Receita Bruta LTM</t>
  </si>
  <si>
    <t>Câmbio</t>
  </si>
  <si>
    <t>Dívida Líq/EBITDA</t>
  </si>
  <si>
    <t>Dívida Líquida</t>
  </si>
  <si>
    <t>EBITDA (LTM)</t>
  </si>
  <si>
    <t>CPV</t>
  </si>
  <si>
    <t>Start of month</t>
  </si>
  <si>
    <t>S&amp;P 500</t>
  </si>
  <si>
    <t>T.Bond Rate</t>
  </si>
  <si>
    <t>Ten-year average CF</t>
  </si>
  <si>
    <t>CF (Trailing 12 month)</t>
  </si>
  <si>
    <t>Normalized CF</t>
  </si>
  <si>
    <t>Expected growth rate</t>
  </si>
  <si>
    <t>ERP (T12 m with sustainable payout)</t>
  </si>
  <si>
    <t>Beta Alavancado</t>
  </si>
  <si>
    <t>Alíquota Imposto Teórica</t>
  </si>
  <si>
    <t>Alíquota Efetiva</t>
  </si>
  <si>
    <t>CDS</t>
  </si>
  <si>
    <t>Inflação US</t>
  </si>
  <si>
    <t>Ke BR (Dólar)</t>
  </si>
  <si>
    <t>Ke US (Dólar)</t>
  </si>
  <si>
    <t>Inflação BR</t>
  </si>
  <si>
    <t>Ke Acumulado</t>
  </si>
  <si>
    <t>Lucro Líquido</t>
  </si>
  <si>
    <t>Depreciação/Amortizações</t>
  </si>
  <si>
    <t>Fluxo de Caixa - Investimentos</t>
  </si>
  <si>
    <t>Direito de Uso</t>
  </si>
  <si>
    <t>Passivo de Arrendamento</t>
  </si>
  <si>
    <t>CAPEX</t>
  </si>
  <si>
    <t>Lifting Cost</t>
  </si>
  <si>
    <t>Informações</t>
  </si>
  <si>
    <t>Capital de Giro</t>
  </si>
  <si>
    <t>Outros Ativos</t>
  </si>
  <si>
    <t>Dias de Receita</t>
  </si>
  <si>
    <t>% da Produção</t>
  </si>
  <si>
    <t>Produção do Período</t>
  </si>
  <si>
    <t xml:space="preserve">Dias </t>
  </si>
  <si>
    <t>Variação do Capital de Giro</t>
  </si>
  <si>
    <t>Investimentos em Capital de Giro</t>
  </si>
  <si>
    <t>Investimentos em Outros Ativos</t>
  </si>
  <si>
    <t>Fluxo de Caixa - Operacional</t>
  </si>
  <si>
    <t>Fluxo de Caixa para Dividendos</t>
  </si>
  <si>
    <t>4Q/T</t>
  </si>
  <si>
    <t xml:space="preserve">Lucro Líquido - Saída de Caixa </t>
  </si>
  <si>
    <t>Balanço Patrimonial (R$ Mil)</t>
  </si>
  <si>
    <t>DRE (R$ Mil)</t>
  </si>
  <si>
    <t>TP</t>
  </si>
  <si>
    <t>3P</t>
  </si>
  <si>
    <t>Produção Líquida de Petróleo - 1P</t>
  </si>
  <si>
    <t>Produção Líquida de Petróleo - 2P</t>
  </si>
  <si>
    <t>Produção Líquida de Petróleo - 3P</t>
  </si>
  <si>
    <t>Produção Líquida de Gás Natural - 1P</t>
  </si>
  <si>
    <t>Produção Líquida de Gás Natural - 2P</t>
  </si>
  <si>
    <t>Produção Líquida de Gás Natural - 3P</t>
  </si>
  <si>
    <t>Apr 30</t>
  </si>
  <si>
    <t>May 30</t>
  </si>
  <si>
    <t>Aug 30</t>
  </si>
  <si>
    <t>Sep 30</t>
  </si>
  <si>
    <t>Oct 30</t>
  </si>
  <si>
    <t>Dec 30</t>
  </si>
  <si>
    <t>1T26</t>
  </si>
  <si>
    <t>2T26</t>
  </si>
  <si>
    <t>3T26</t>
  </si>
  <si>
    <t>4T26</t>
  </si>
  <si>
    <t>1T27</t>
  </si>
  <si>
    <t>2T27</t>
  </si>
  <si>
    <t>3T27</t>
  </si>
  <si>
    <t>4T27</t>
  </si>
  <si>
    <t>1T28</t>
  </si>
  <si>
    <t>2T28</t>
  </si>
  <si>
    <t>3T28</t>
  </si>
  <si>
    <t>4T28</t>
  </si>
  <si>
    <t>1T29</t>
  </si>
  <si>
    <t>2T29</t>
  </si>
  <si>
    <t>3T29</t>
  </si>
  <si>
    <t>4T29</t>
  </si>
  <si>
    <t>1T30</t>
  </si>
  <si>
    <t>2T30</t>
  </si>
  <si>
    <t>2T10</t>
  </si>
  <si>
    <t>3T40</t>
  </si>
  <si>
    <t>3T30</t>
  </si>
  <si>
    <t>4T30</t>
  </si>
  <si>
    <t>4T63</t>
  </si>
  <si>
    <t>Dias de Custo</t>
  </si>
  <si>
    <t>COGS LTM</t>
  </si>
  <si>
    <t>COGS</t>
  </si>
  <si>
    <t>2P</t>
  </si>
  <si>
    <t>CAPEX - 1P</t>
  </si>
  <si>
    <t>CAPEX - 2P</t>
  </si>
  <si>
    <t>CAPEX - 3P</t>
  </si>
  <si>
    <t>Royalties e Participações Especiais - 1P</t>
  </si>
  <si>
    <t>Royalties e Participações Especiais - 2P</t>
  </si>
  <si>
    <t>Royalties e Participações Especiais - 3P</t>
  </si>
  <si>
    <t>Imposto Sobre Receita</t>
  </si>
  <si>
    <t>Resultados</t>
  </si>
  <si>
    <t>Pagamentos de Passivos de Arrendamento</t>
  </si>
  <si>
    <t>Redutor de Receita</t>
  </si>
  <si>
    <t>Premissa de Adição de Valor com Reinvestimentos</t>
  </si>
  <si>
    <t>Spread Taxa de Desconto</t>
  </si>
  <si>
    <t>FCFF - Premissa de Reinvestimentos</t>
  </si>
  <si>
    <t>Retorno s/ Capital Investido</t>
  </si>
  <si>
    <t>FCFF dos novos investimentos</t>
  </si>
  <si>
    <t>FCFF Desconto - Premissa Reinvestimentos Total</t>
  </si>
  <si>
    <t>FCFF Desconto - Novos Investimentos</t>
  </si>
  <si>
    <t>Premissa com Reinvestimentos</t>
  </si>
  <si>
    <t>Treasury Year</t>
  </si>
  <si>
    <t>Yield</t>
  </si>
  <si>
    <t>Acumulado</t>
  </si>
  <si>
    <t>Taxa Implícita Anual</t>
  </si>
  <si>
    <t>Check</t>
  </si>
  <si>
    <t>Base 1</t>
  </si>
  <si>
    <t>Risk Free Rate US</t>
  </si>
  <si>
    <t>N/D</t>
  </si>
  <si>
    <t>Taxa Implícita no Ano</t>
  </si>
  <si>
    <t>Indicador</t>
  </si>
  <si>
    <t>CPI</t>
  </si>
  <si>
    <t xml:space="preserve">Taxa de câmbio média do dólar no ano </t>
  </si>
  <si>
    <t>Inflação Brasileira</t>
  </si>
  <si>
    <t>Projeção</t>
  </si>
  <si>
    <t>Diferencial Inflacionário BRA/EUA</t>
  </si>
  <si>
    <t>Depreciação - 1P</t>
  </si>
  <si>
    <t>Depreciação - 2P</t>
  </si>
  <si>
    <t>Depreciação - 3P</t>
  </si>
  <si>
    <t>Receita Líquida</t>
  </si>
  <si>
    <t>Custos</t>
  </si>
  <si>
    <t>Fluxo de Caixa - Variações da Dívida Líquida</t>
  </si>
  <si>
    <t>Fluxo de Caixa dos Acionistas</t>
  </si>
  <si>
    <t>Taxa Pré-Fixada</t>
  </si>
  <si>
    <t>Taxa de Juros Selic</t>
  </si>
  <si>
    <t>Projeçao</t>
  </si>
  <si>
    <t>Despesas</t>
  </si>
  <si>
    <t>Impostos</t>
  </si>
  <si>
    <t>Lifting Cost (US$)</t>
  </si>
  <si>
    <t>Outras Depesas</t>
  </si>
  <si>
    <t>Linha de Resultado Operacional</t>
  </si>
  <si>
    <t>Sobressalentes</t>
  </si>
  <si>
    <t>Sonda Hunter Queen</t>
  </si>
  <si>
    <t>Método de Depreciação</t>
  </si>
  <si>
    <t>Método de Amortização</t>
  </si>
  <si>
    <t>Ativo Intangível</t>
  </si>
  <si>
    <t>Ativo Imobilizado</t>
  </si>
  <si>
    <t>Valor líquido (R$ mi)</t>
  </si>
  <si>
    <t>Abandono - 1P</t>
  </si>
  <si>
    <t>Abandono - 2P</t>
  </si>
  <si>
    <t>Abandono - 3P</t>
  </si>
  <si>
    <t>Despesas com Abandono por Cenário de Entrega de Reservas  (R$ mi)</t>
  </si>
  <si>
    <t>Função de Dias de Receitas</t>
  </si>
  <si>
    <t>Função da Produção</t>
  </si>
  <si>
    <t>Função de Dias de Custos</t>
  </si>
  <si>
    <t>% da Receita dos 12 Últimos Meses</t>
  </si>
  <si>
    <t>Dias de Receita dos 12 Últimos Meses</t>
  </si>
  <si>
    <t>Dias de CMV dos 12 Últimos Meses</t>
  </si>
  <si>
    <t>Fluxo de Caixa Operacional</t>
  </si>
  <si>
    <t>Fluxo de Caixa de Investimentos</t>
  </si>
  <si>
    <t>1 anos</t>
  </si>
  <si>
    <t>2 anos</t>
  </si>
  <si>
    <t>3 anos</t>
  </si>
  <si>
    <t>4 anos</t>
  </si>
  <si>
    <t>5 anos</t>
  </si>
  <si>
    <t>6 anos</t>
  </si>
  <si>
    <t>7 anos</t>
  </si>
  <si>
    <t>8-9 anos</t>
  </si>
  <si>
    <t>10 anos</t>
  </si>
  <si>
    <t>11-19 anos</t>
  </si>
  <si>
    <t>20 anos</t>
  </si>
  <si>
    <t>21-29 anos</t>
  </si>
  <si>
    <t>30 anos</t>
  </si>
  <si>
    <t>Ke BR</t>
  </si>
  <si>
    <t>Upside/Downside (%) em Relação ao Cenário BASE</t>
  </si>
  <si>
    <t>Resultado Cenário Base</t>
  </si>
  <si>
    <t>Diferença entre Valor Máximo e Mínimo</t>
  </si>
  <si>
    <t>Jun 30</t>
  </si>
  <si>
    <t>Jul 30</t>
  </si>
  <si>
    <t>Nov 30</t>
  </si>
  <si>
    <t>Bloomberg + Meta</t>
  </si>
  <si>
    <t>Dados históricos: Investing.com</t>
  </si>
  <si>
    <t xml:space="preserve">Tabela: Beta Damodaran </t>
  </si>
  <si>
    <t>Contratos Futuros Brent: Bloomberg &amp; Investing.com</t>
  </si>
  <si>
    <t>Premissa de Reservas &gt;&gt;</t>
  </si>
  <si>
    <t>BRENT $/bbl - Preços Históricos e Curva Futura</t>
  </si>
  <si>
    <t>Preço de realização (US$/bbl) - por Campo</t>
  </si>
  <si>
    <t>Receita - Oil (US$mm) - Reportado no DRE</t>
  </si>
  <si>
    <t>Receita - Oil (R$mm) - Reportado no DRE</t>
  </si>
  <si>
    <t>Receita - Oil (R$mm) - Estimado pelo Release Operacional</t>
  </si>
  <si>
    <t>Receita - Oil (u$mm) - Estimado pelo Release Operacional</t>
  </si>
  <si>
    <t>Vendas (10³ bbl)</t>
  </si>
  <si>
    <t>Produção (10³ bbl) - Empresa</t>
  </si>
  <si>
    <t>BRENT $/bbl - Preço de Venda PRIO (Reportado e Projeção)</t>
  </si>
  <si>
    <t>Metros cúbicos para pés cúbicos</t>
  </si>
  <si>
    <t>Metros cúbicos para milhões de BTU - Gás seco</t>
  </si>
  <si>
    <t>Inflação Americana: Base 1 (2022)</t>
  </si>
  <si>
    <t>Royalties à Pagar (US$) - Projeção</t>
  </si>
  <si>
    <t>SPF à Pagar (US$) - Projeção</t>
  </si>
  <si>
    <t>SPF e Royalties - DRE (US$ mm)</t>
  </si>
  <si>
    <t>Imposto médio - DRE (US$ mm)</t>
  </si>
  <si>
    <t>Variação cambial no período  (R$ milhões)</t>
  </si>
  <si>
    <t>Dívida Total (R$ milhões)</t>
  </si>
  <si>
    <t>Caixa e equivalente de caixa em dólar (US$ milhões)</t>
  </si>
  <si>
    <t>Rendimentos dos Títulos Americanos</t>
  </si>
  <si>
    <t>26.054</t>
  </si>
  <si>
    <t>Variação Cambial</t>
  </si>
  <si>
    <t>Variação de Outros Ativos</t>
  </si>
  <si>
    <t>Quantidade de ações</t>
  </si>
  <si>
    <t>Entrega de Reservas</t>
  </si>
  <si>
    <t>PREMISSAS:</t>
  </si>
  <si>
    <t>Usar como Tabela de Dados &gt;&gt;</t>
  </si>
  <si>
    <t>Se planilha ficar pesada, colar como valor</t>
  </si>
  <si>
    <t>Ano final</t>
  </si>
  <si>
    <t>.</t>
  </si>
  <si>
    <t>Receita (U$mm)</t>
  </si>
  <si>
    <t>JANUARY 1, 2024</t>
  </si>
  <si>
    <t>PRIO S.A.</t>
  </si>
  <si>
    <t>Handling fee</t>
  </si>
  <si>
    <t xml:space="preserve">  4. The estimated economic limit for the field occurs after the expiration date of the concession agreement. PRIO has represented that it expects to meet the conditions required by the ANP to obtain the</t>
  </si>
  <si>
    <t xml:space="preserve">  5. PRIO has represented that a handling fee of U.S.$12.5 per barrel of oil is charged to the interest owners of the unitized reservoirs of the Albacora Leste field as a reimbursement for processing the</t>
  </si>
  <si>
    <r>
      <t>(10</t>
    </r>
    <r>
      <rPr>
        <b/>
        <vertAlign val="superscript"/>
        <sz val="11"/>
        <color theme="1"/>
        <rFont val="Arial"/>
        <family val="2"/>
      </rPr>
      <t>3</t>
    </r>
    <r>
      <rPr>
        <b/>
        <sz val="11"/>
        <color theme="1"/>
        <rFont val="Arial"/>
        <family val="2"/>
      </rPr>
      <t>bbl)</t>
    </r>
  </si>
  <si>
    <r>
      <t>(10</t>
    </r>
    <r>
      <rPr>
        <b/>
        <vertAlign val="superscript"/>
        <sz val="11"/>
        <color theme="1"/>
        <rFont val="Arial"/>
        <family val="2"/>
      </rPr>
      <t>6</t>
    </r>
    <r>
      <rPr>
        <b/>
        <sz val="11"/>
        <color theme="1"/>
        <rFont val="Arial"/>
        <family val="2"/>
      </rPr>
      <t>ft</t>
    </r>
    <r>
      <rPr>
        <b/>
        <vertAlign val="superscript"/>
        <sz val="11"/>
        <color theme="1"/>
        <rFont val="Arial"/>
        <family val="2"/>
      </rPr>
      <t>3</t>
    </r>
    <r>
      <rPr>
        <b/>
        <sz val="11"/>
        <color theme="1"/>
        <rFont val="Arial"/>
        <family val="2"/>
      </rPr>
      <t>)</t>
    </r>
  </si>
  <si>
    <r>
      <t>(U.S.$/10</t>
    </r>
    <r>
      <rPr>
        <b/>
        <vertAlign val="superscript"/>
        <sz val="11"/>
        <color theme="1"/>
        <rFont val="Arial"/>
        <family val="2"/>
      </rPr>
      <t>3</t>
    </r>
    <r>
      <rPr>
        <b/>
        <sz val="11"/>
        <color theme="1"/>
        <rFont val="Arial"/>
        <family val="2"/>
      </rPr>
      <t>ft</t>
    </r>
    <r>
      <rPr>
        <b/>
        <vertAlign val="superscript"/>
        <sz val="11"/>
        <color theme="1"/>
        <rFont val="Arial"/>
        <family val="2"/>
      </rPr>
      <t>3</t>
    </r>
    <r>
      <rPr>
        <b/>
        <sz val="11"/>
        <color theme="1"/>
        <rFont val="Arial"/>
        <family val="2"/>
      </rPr>
      <t>)</t>
    </r>
  </si>
  <si>
    <r>
      <t xml:space="preserve">  4.</t>
    </r>
    <r>
      <rPr>
        <sz val="11"/>
        <color theme="1"/>
        <rFont val="Calibri"/>
        <family val="2"/>
        <scheme val="minor"/>
      </rPr>
      <t xml:space="preserve"> concession extension.  Based on this representation, and at PRIO's request, the reserves estimated herein considered the potential concession extension for the field.</t>
    </r>
  </si>
  <si>
    <r>
      <t xml:space="preserve">  5.</t>
    </r>
    <r>
      <rPr>
        <sz val="11"/>
        <color theme="1"/>
        <rFont val="Calibri"/>
        <family val="2"/>
        <scheme val="minor"/>
      </rPr>
      <t xml:space="preserve"> hydrocarbons at the P-50 FPSO.</t>
    </r>
  </si>
  <si>
    <r>
      <t>(10</t>
    </r>
    <r>
      <rPr>
        <b/>
        <vertAlign val="superscript"/>
        <sz val="11"/>
        <color theme="1"/>
        <rFont val="Arial"/>
        <family val="2"/>
      </rPr>
      <t>3</t>
    </r>
    <r>
      <rPr>
        <b/>
        <sz val="11"/>
        <color theme="1"/>
        <rFont val="Arial"/>
        <family val="2"/>
      </rPr>
      <t>U.S.$)</t>
    </r>
  </si>
  <si>
    <r>
      <t>Present Worth (10</t>
    </r>
    <r>
      <rPr>
        <b/>
        <vertAlign val="superscript"/>
        <sz val="11"/>
        <color theme="1"/>
        <rFont val="Arial"/>
        <family val="2"/>
      </rPr>
      <t>3</t>
    </r>
    <r>
      <rPr>
        <b/>
        <sz val="11"/>
        <color theme="1"/>
        <rFont val="Arial"/>
        <family val="2"/>
      </rPr>
      <t>U.S.$) at:</t>
    </r>
  </si>
  <si>
    <t xml:space="preserve">  5. The estimated economic limit for the field occurs after the expiration date of the concession agreement. PRIO has represented that it expects to meet the conditions required by the ANP to obtain the</t>
  </si>
  <si>
    <r>
      <t xml:space="preserve">  5.</t>
    </r>
    <r>
      <rPr>
        <sz val="11"/>
        <color theme="1"/>
        <rFont val="Calibri"/>
        <family val="2"/>
        <scheme val="minor"/>
      </rPr>
      <t xml:space="preserve"> concession extension.  Based on this representation, and at PRIO's request, the reserves estimated herein considered the potential concession extension for the field.</t>
    </r>
  </si>
  <si>
    <t xml:space="preserve">  6. PRIO has represented that a handling fee of U.S.$12.5 per barrel of oil is charged to the interest owners of the unitized reservoirs of the Albacora Leste field as a reimbursement for processing the</t>
  </si>
  <si>
    <r>
      <t xml:space="preserve">  6.</t>
    </r>
    <r>
      <rPr>
        <sz val="11"/>
        <color theme="1"/>
        <rFont val="Calibri"/>
        <family val="2"/>
        <scheme val="minor"/>
      </rPr>
      <t xml:space="preserve"> hydrocarbons at the P-50 FPSO.</t>
    </r>
  </si>
  <si>
    <t xml:space="preserve">  4. The estimated economic limit for the field occurs after the expiration date of the concession agreement. PRIO has represented that it expects to meet the conditions required by the ANP to</t>
  </si>
  <si>
    <r>
      <t xml:space="preserve">  4.</t>
    </r>
    <r>
      <rPr>
        <sz val="11"/>
        <color theme="1"/>
        <rFont val="Calibri"/>
        <family val="2"/>
        <scheme val="minor"/>
      </rPr>
      <t xml:space="preserve"> obtain the concession extension.  Based on this representation, and at PRIO's request, the reserves estimated herein considered the potential concession extension for the field.</t>
    </r>
  </si>
  <si>
    <t xml:space="preserve">  5. The estimated economic limit for the field occurs after the expiration date of the concession agreement. PRIO has represented that it expects to meet the conditions required by the ANP to</t>
  </si>
  <si>
    <r>
      <t xml:space="preserve">  5.</t>
    </r>
    <r>
      <rPr>
        <sz val="11"/>
        <color theme="1"/>
        <rFont val="Calibri"/>
        <family val="2"/>
        <scheme val="minor"/>
      </rPr>
      <t xml:space="preserve"> obtain the concession extension.  Based on this representation, and at PRIO's request, the reserves estimated herein considered the potential concession extension for the field.</t>
    </r>
  </si>
  <si>
    <t xml:space="preserve"> </t>
  </si>
  <si>
    <t>Feb 31</t>
  </si>
  <si>
    <t>Apr 31</t>
  </si>
  <si>
    <t>May 31</t>
  </si>
  <si>
    <t>Jan 31</t>
  </si>
  <si>
    <t>Mar 31</t>
  </si>
  <si>
    <t>Focus 08/03/2024 + Meta</t>
  </si>
  <si>
    <t>Focus 08/03/2024 + Diferencial de Inflação</t>
  </si>
  <si>
    <t>Focus 08/03/2024 + Último Resultado Perpetuado</t>
  </si>
  <si>
    <t>Taxa Selic</t>
  </si>
  <si>
    <t>Tabela: Taxa livre de Risco - Federal Reserve (www.federalreserve.gov/releases/h15/): 14/03/2024</t>
  </si>
  <si>
    <t>Tabela: ERP Damodaran (https://view.officeapps.live.com/op/view.aspx?src=https%3A%2F%2Fpages.stern.nyu.edu%2F~adamodar%2Fpc%2Fimplprem%2FERPbymonth.xlsx&amp;wdOrigin=BROWSELINK)</t>
  </si>
  <si>
    <t xml:space="preserve">Handling </t>
  </si>
  <si>
    <t>fee</t>
  </si>
  <si>
    <t>Handling Fee Albacora: % da receita</t>
  </si>
  <si>
    <t xml:space="preserve">Inflação US </t>
  </si>
  <si>
    <t>BAABTAVMT0NBTAFI/////wFQqgAAACRDSVEuTUFSIDI0LklRX1NFVFRMRU1FTlRfUFJJQ0UuNDUzNjYFAAAAAAAAAAgAAAAUKEludmFsaWQgSWRlbnRpZmllcikE+ffGn0bcCFoN1DSgRtwIJENJUS5BUFIgMjQuSVFfU0VUVExFTUVOVF9QUklDRS40NTM2NgUAAAAAAAAACAAAABQoSW52YWxpZCBJZGVudGlmaWVyKaY8ReGfRtwId16eNKBG3AgkQ0lRLk1BWSAyNC5JUV9TRVRUTEVNRU5UX1BSSUNFLjQ1MzY2BQAAAAAAAAAIAAAAFChJbnZhbGlkIElkZW50aWZpZXIppjxF4Z9G3Ah3Xp40oEbcCCRDSVEuSlVOIDI0LklRX1NFVFRMRU1FTlRfUFJJQ0UuNDUzNjYFAAAAAAAAAAgAAAAUKEludmFsaWQgSWRlbnRpZmllcimmPEXhn0bcCHdenjSgRtwIJENJUS5KVUwgMjQuSVFfU0VUVExFTUVOVF9QUklDRS40NTM2NgUAAAAAAAAACAAAABQoSW52YWxpZCBJZGVudGlmaWVyKaY8ReGfRtwId16eNKBG3AgkQ0lRLkFVRyAyNC5JUV9TRVRUTEVNRU5UX1BSSUNFLjQ1MzY2BQAAAAAAAAAIAAAAFChJbnZhbGlkIElkZW50aWZpZXIpH2lF4Z9G3Ah3Xp40oEbcCClDSVEuTUFSIDI0LklRX1NFVFRMRU1FTlRfUFJJQ0UuMTUvMDMvMjAyNAUAAAAAAAAACAAAABQoSW52YWxpZCBJZGVudGlmaWVyKTb3Fv6fRtwINa0eNKBG3AgfQ0lRLk1BUiAyNC5JUV9TRVRUTEVNRU5UX1BSSUNFLgUAAAAAAAAACAAAABQoSW52YWxp</t>
  </si>
  <si>
    <t>ZCBJZGVudGlmaWVyKbzHp/6fRtwINKpwC6BG3AgpQ0lRLk1BUiAzMC5JUV9TRVRUTEVNRU5UX1BSSUNFLjE1LzAzLzIwMjQFAAAAAAAAAAgAAAAUKEludmFsaWQgSWRlbnRpZmllcimx6NofoEbcCIgg3zOgRtwIKUNJUS5GRUIgMzAuSVFfU0VUVExFTUVOVF9QUklDRS4xNS8wMy8yMDI0BQAAAAAAAAAIAAAAFChJbnZhbGlkIElkZW50aWZpZXIpsejaH6BG3AiIIN8zoEbcCClDSVEuSlVOIDMwLklRX1NFVFRMRU1FTlRfUFJJQ0UuMTUvMDMvMjAyNAUAAAAAAAAACAAAABQoSW52YWxpZCBJZGVudGlmaWVyKbHo2h+gRtwIiCDfM6BG3AgpQ0lRLk9DVCAyOS5JUV9TRVRUTEVNRU5UX1BSSUNFLjE1LzAzLzIwMjQFAAAAAAAAAAgAAAAUKEludmFsaWQgSWRlbnRpZmllcimx6NofoEbcCIgg3zOgRtwIKUNJUS5GRUIgMjkuSVFfU0VUVExFTUVOVF9QUklDRS4xNS8wMy8yMDI0BQAAAAAAAAAIAAAAFChJbnZhbGlkIElkZW50aWZpZXIpsejaH6BG3AiIIN8zoEbcCClDSVEuSlVOIDI4LklRX1NFVFRMRU1FTlRfUFJJQ0UuMTUvMDMvMjAyNAUAAAAAAAAACAAAABQoSW52YWxpZCBJZGVudGlmaWVyKbHo2h+gRtwIiCDfM6BG3AgpQ0lRLk9DVCAyNy5JUV9TRVRUTEVNRU5UX1BSSUNFLjE1LzAzLzIwMjQFAAAAAAAAAAgAAAAUKEludmFsaWQgSWRlbnRpZmllcimx6NofoEbcCIgg3zOgRtwIKUNJUS5GRUIgMjcuSVFf</t>
  </si>
  <si>
    <t>U0VUVExFTUVOVF9QUklDRS4xNS8wMy8yMDI0BQAAAAAAAAAIAAAAFChJbnZhbGlkIElkZW50aWZpZXIpsejaH6BG3AiIIN8zoEbcCClDSVEuSlVOIDI2LklRX1NFVFRMRU1FTlRfUFJJQ0UuMTUvMDMvMjAyNAUAAAAAAAAACAAAABQoSW52YWxpZCBJZGVudGlmaWVyKbHo2h+gRtwIiCDfM6BG3AgpQ0lRLk9DVCAyNS5JUV9TRVRUTEVNRU5UX1BSSUNFLjE1LzAzLzIwMjQFAAAAAAAAAAgAAAAUKEludmFsaWQgSWRlbnRpZmllcimx6NofoEbcCIgg3zOgRtwIKUNJUS5GRUIgMjUuSVFfU0VUVExFTUVOVF9QUklDRS4xNS8wMy8yMDI0BQAAAAAAAAAIAAAAFChJbnZhbGlkIElkZW50aWZpZXIpsejaH6BG3AiIIN8zoEbcCClDSVEuSlVOIDI0LklRX1NFVFRMRU1FTlRfUFJJQ0UuMTUvMDMvMjAyNAUAAAAAAAAACAAAABQoSW52YWxpZCBJZGVudGlmaWVyKbHo2h+gRtwIiCDfM6BG3AgpQ0lRLkFQUiAzMC5JUV9TRVRUTEVNRU5UX1BSSUNFLjE1LzAzLzIwMjQFAAAAAAAAAAgAAAAUKEludmFsaWQgSWRlbnRpZmllcimx6NofoEbcCIgg3zOgRtwIKUNJUS5ERUMgMjguSVFfU0VUVExFTUVOVF9QUklDRS4xNS8wMy8yMDI0BQAAAAAAAAAIAAAAFChJbnZhbGlkIElkZW50aWZpZXIpsejaH6BG3AiIIN8zoEbcCClDSVEuQVBSIDI2LklRX1NFVFRMRU1FTlRfUFJJQ0UuMTUvMDMvMjAyNAUAAAAAAAAACAAAABQoSW52</t>
  </si>
  <si>
    <t>YWxpZCBJZGVudGlmaWVyKbHo2h+gRtwIiCDfM6BG3AgpQ0lRLkFVRyAyNS5JUV9TRVRUTEVNRU5UX1BSSUNFLjE1LzAzLzIwMjQFAAAAAAAAAAgAAAAUKEludmFsaWQgSWRlbnRpZmllcimx6NofoEbcCIgg3zOgRtwIKUNJUS5BUFIgMjQuSVFfU0VUVExFTUVOVF9QUklDRS4xNS8wMy8yMDI0BQAAAAAAAAAIAAAAFChJbnZhbGlkIElkZW50aWZpZXIpsejaH6BG3AiIIN8zoEbcCClDSVEuTk9WIDMwLklRX1NFVFRMRU1FTlRfUFJJQ0UuMTUvMDMvMjAyNAUAAAAAAAAACAAAABQoSW52YWxpZCBJZGVudGlmaWVyKbHo2h+gRtwIiCDfM6BG3AgpQ0lRLk1BUiAyOC5JUV9TRVRUTEVNRU5UX1BSSUNFLjE1LzAzLzIwMjQFAAAAAAAAAAgAAAAUKEludmFsaWQgSWRlbnRpZmllcimx6NofoEbcCIgg3zOgRtwIKUNJUS5KVUwgMjcuSVFfU0VUVExFTUVOVF9QUklDRS4xNS8wMy8yMDI0BQAAAAAAAAAIAAAAFChJbnZhbGlkIElkZW50aWZpZXIpsejaH6BG3AiIIN8zoEbcCClDSVEuRkVCIDI4LklRX1NFVFRMRU1FTlRfUFJJQ0UuMTUvMDMvMjAyNAUAAAAAAAAACAAAABQoSW52YWxpZCBJZGVudGlmaWVyKbHo2h+gRtwIiCDfM6BG3AgpQ0lRLkFVRyAzMC5JUV9TRVRUTEVNRU5UX1BSSUNFLjE1LzAzLzIwMjQFAAAAAAAAAAgAAAAUKEludmFsaWQgSWRlbnRpZmllcimx6NofoEbcCIgg3zOgRtwIKUNJUS5ERUMgMjcu</t>
  </si>
  <si>
    <t>SVFfU0VUVExFTUVOVF9QUklDRS4xNS8wMy8yMDI0BQAAAAAAAAAIAAAAFChJbnZhbGlkIElkZW50aWZpZXIpsejaH6BG3AiIIN8zoEbcCClDSVEuSlVMIDMwLklRX1NFVFRMRU1FTlRfUFJJQ0UuMTUvMDMvMjAyNAUAAAAAAAAACAAAABQoSW52YWxpZCBJZGVudGlmaWVyKbHo2h+gRtwIiCDfM6BG3AgpQ0lRLk1BUiAyOS5JUV9TRVRUTEVNRU5UX1BSSUNFLjE1LzAzLzIwMjQFAAAAAAAAAAgAAAAUKEludmFsaWQgSWRlbnRpZmllcimx6NofoEbcCIgg3zOgRtwIKUNJUS5NQVIgMjcuSVFfU0VUVExFTUVOVF9QUklDRS4xNS8wMy8yMDI0BQAAAAAAAAAIAAAAFChJbnZhbGlkIElkZW50aWZpZXIpsejaH6BG3AiIIN8zoEbcCClDSVEuTk9WIDI1LklRX1NFVFRMRU1FTlRfUFJJQ0UuMTUvMDMvMjAyNAUAAAAAAAAACAAAABQoSW52YWxpZCBJZGVudGlmaWVyKbHo2h+gRtwIiCDfM6BG3AgpQ0lRLkpVTCAyNC5JUV9TRVRUTEVNRU5UX1BSSUNFLjE1LzAzLzIwMjQFAAAAAAAAAAgAAAAUKEludmFsaWQgSWRlbnRpZmllcimx6NofoEbcCIgg3zOgRtwIKUNJUS5KQU4gMzAuSVFfU0VUVExFTUVOVF9QUklDRS4xNS8wMy8yMDI0BQAAAAAAAAAIAAAAFChJbnZhbGlkIElkZW50aWZpZXIpsejaH6BG3AiIIN8zoEbcCClDSVEuTUFZIDMwLklRX1NFVFRMRU1FTlRfUFJJQ0UuMTUvMDMvMjAyNAUAAAAAAAAACAAAABQo</t>
  </si>
  <si>
    <t>SW52YWxpZCBJZGVudGlmaWVyKbHo2h+gRtwIiCDfM6BG3AgpQ0lRLlNFUCAyOS5JUV9TRVRUTEVNRU5UX1BSSUNFLjE1LzAzLzIwMjQFAAAAAAAAAAgAAAAUKEludmFsaWQgSWRlbnRpZmllcimx6NofoEbcCIgg3zOgRtwIKUNJUS5KQU4gMjkuSVFfU0VUVExFTUVOVF9QUklDRS4xNS8wMy8yMDI0BQAAAAAAAAAIAAAAFChJbnZhbGlkIElkZW50aWZpZXIpsejaH6BG3AiIIN8zoEbcCClDSVEuTUFZIDI4LklRX1NFVFRMRU1FTlRfUFJJQ0UuMTUvMDMvMjAyNAUAAAAAAAAACAAAABQoSW52YWxpZCBJZGVudGlmaWVyKbHo2h+gRtwIiCDfM6BG3AgpQ0lRLlNFUCAyNy5JUV9TRVRUTEVNRU5UX1BSSUNFLjE1LzAzLzIwMjQFAAAAAAAAAAgAAAAUKEludmFsaWQgSWRlbnRpZmllcimx6NofoEbcCIgg3zOgRtwIKUNJUS5KQU4gMjcuSVFfU0VUVExFTUVOVF9QUklDRS4xNS8wMy8yMDI0BQAAAAAAAAAIAAAAFChJbnZhbGlkIElkZW50aWZpZXIpsejaH6BG3AiIIN8zoEbcCClDSVEuTUFZIDI2LklRX1NFVFRMRU1FTlRfUFJJQ0UuMTUvMDMvMjAyNAUAAAAAAAAACAAAABQoSW52YWxpZCBJZGVudGlmaWVyKbHo2h+gRtwIiCDfM6BG3AgpQ0lRLlNFUCAyNS5JUV9TRVRUTEVNRU5UX1BSSUNFLjE1LzAzLzIwMjQFAAAAAAAAAAgAAAAUKEludmFsaWQgSWRlbnRpZmllcimx6NofoEbcCIgg3zOgRtwIKUNJUS5KQU4g</t>
  </si>
  <si>
    <t>MjUuSVFfU0VUVExFTUVOVF9QUklDRS4xNS8wMy8yMDI0BQAAAAAAAAAIAAAAFChJbnZhbGlkIElkZW50aWZpZXIpsejaH6BG3AiIIN8zoEbcCClDSVEuTUFZIDI0LklRX1NFVFRMRU1FTlRfUFJJQ0UuMTUvMDMvMjAyNAUAAAAAAAAACAAAABQoSW52YWxpZCBJZGVudGlmaWVyKbHo2h+gRtwIiCDfM6BG3AgpQ0lRLkFVRyAyOS5JUV9TRVRUTEVNRU5UX1BSSUNFLjE1LzAzLzIwMjQFAAAAAAAAAAgAAAAUKEludmFsaWQgSWRlbnRpZmllcimx6NofoEbcCIgg3zOgRtwIKUNJUS5BUFIgMjguSVFfU0VUVExFTUVOVF9QUklDRS4xNS8wMy8yMDI0BQAAAAAAAAAIAAAAFChJbnZhbGlkIElkZW50aWZpZXIpsejaH6BG3AiIIN8zoEbcCClDSVEuREVDIDI2LklRX1NFVFRMRU1FTlRfUFJJQ0UuMTUvMDMvMjAyNAUAAAAAAAAACAAAABQoSW52YWxpZCBJZGVudGlmaWVyKbHo2h+gRtwIiCDfM6BG3AgpQ0lRLkRFQyAyNC5JUV9TRVRUTEVNRU5UX1BSSUNFLjE1LzAzLzIwMjQFAAAAAAAAAAgAAAAUKEludmFsaWQgSWRlbnRpZmllcimx6NofoEbcCIgg3zOgRtwIKUNJUS5OT1YgMjguSVFfU0VUVExFTUVOVF9QUklDRS4xNS8wMy8yMDI0BQAAAAAAAAAIAAAAFChJbnZhbGlkIElkZW50aWZpZXIpsejaH6BG3AiIIN8zoEbcCClDSVEuSlVMIDI1LklRX1NFVFRMRU1FTlRfUFJJQ0UuMTUvMDMvMjAyNAUAAAAAAAAACAAA</t>
  </si>
  <si>
    <t>ABQoSW52YWxpZCBJZGVudGlmaWVyKbHo2h+gRtwIiCDfM6BG3AgpQ0lRLk5PViAyNC5JUV9TRVRUTEVNRU5UX1BSSUNFLjE1LzAzLzIwMjQFAAAAAAAAAAgAAAAUKEludmFsaWQgSWRlbnRpZmllcimx6NofoEbcCIgg3zOgRtwIKUNJUS5KVU4gMjcuSVFfU0VUVExFTUVOVF9QUklDRS4xNS8wMy8yMDI0BQAAAAAAAAAIAAAAFChJbnZhbGlkIElkZW50aWZpZXIpsejaH6BG3AiIIN8zoEbcCClDSVEuT0NUIDI2LklRX1NFVFRMRU1FTlRfUFJJQ0UuMTUvMDMvMjAyNAUAAAAAAAAACAAAABQoSW52YWxpZCBJZGVudGlmaWVyKbHo2h+gRtwIiCDfM6BG3AgpQ0lRLkZFQiAyNi5JUV9TRVRUTEVNRU5UX1BSSUNFLjE1LzAzLzIwMjQFAAAAAAAAAAgAAAAUKEludmFsaWQgSWRlbnRpZmllcimx6NofoEbcCIgg3zOgRtwIKUNJUS5PQ1QgMjQuSVFfU0VUVExFTUVOVF9QUklDRS4xNS8wMy8yMDI0BQAAAAAAAAAIAAAAFChJbnZhbGlkIElkZW50aWZpZXIpsejaH6BG3AiIIN8zoEbcCClDSVEuREVDIDI5LklRX1NFVFRMRU1FTlRfUFJJQ0UuMTUvMDMvMjAyNAUAAAAAAAAACAAAABQoSW52YWxpZCBJZGVudGlmaWVyKbHo2h+gRtwIiCDfM6BG3AgpQ0lRLkFQUiAyNy5JUV9TRVRUTEVNRU5UX1BSSUNFLjE1LzAzLzIwMjQFAAAAAAAAAAgAAAAUKEludmFsaWQgSWRlbnRpZmllcimx6NofoEbcCIgg3zOgRtwIKUNJUS5B</t>
  </si>
  <si>
    <t>UFIgMjUuSVFfU0VUVExFTUVOVF9QUklDRS4xNS8wMy8yMDI0BQAAAAAAAAAIAAAAFChJbnZhbGlkIElkZW50aWZpZXIpsejaH6BG3AiIIN8zoEbcCClDSVEuREVDIDMwLklRX1NFVFRMRU1FTlRfUFJJQ0UuMTUvMDMvMjAyNAUAAAAAAAAACAAAABQoSW52YWxpZCBJZGVudGlmaWVyKbHo2h+gRtwIiCDfM6BG3AgpQ0lRLkFVRyAyNy5JUV9TRVRUTEVNRU5UX1BSSUNFLjE1LzAzLzIwMjQFAAAAAAAAAAgAAAAUKEludmFsaWQgSWRlbnRpZmllcimx6NofoEbcCIgg3zOgRtwIKUNJUS5KVUwgMjkuSVFfU0VUVExFTUVOVF9QUklDRS4xNS8wMy8yMDI0BQAAAAAAAAAIAAAAFChJbnZhbGlkIElkZW50aWZpZXIpsejaH6BG3AiIIN8zoEbcCClDSVEuTk9WIDI2LklRX1NFVFRMRU1FTlRfUFJJQ0UuMTUvMDMvMjAyNAUAAAAAAAAACAAAABQoSW52YWxpZCBJZGVudGlmaWVyKbHo2h+gRtwIiCDfM6BG3AgpQ0lRLkFQUiAyOS5JUV9TRVRUTEVNRU5UX1BSSUNFLjE1LzAzLzIwMjQFAAAAAAAAAAgAAAAUKEludmFsaWQgSWRlbnRpZmllcimx6NofoEbcCIgg3zOgRtwIKUNJUS5OT1YgMjkuSVFfU0VUVExFTUVOVF9QUklDRS4xNS8wMy8yMDI0BQAAAAAAAAAIAAAAFChJbnZhbGlkIElkZW50aWZpZXIpsejaH6BG3AiIIN8zoEbcCClDSVEuSlVMIDI2LklRX1NFVFRMRU1FTlRfUFJJQ0UuMTUvMDMvMjAyNAUAAAAAAAAA</t>
  </si>
  <si>
    <t>CAAAABQoSW52YWxpZCBJZGVudGlmaWVyKbHo2h+gRtwIiCDfM6BG3AgpQ0lRLk1BUiAyNS5JUV9TRVRUTEVNRU5UX1BSSUNFLjE1LzAzLzIwMjQFAAAAAAAAAAgAAAAUKEludmFsaWQgSWRlbnRpZmllcimx6NofoEbcCIgg3zOgRtwIKUNJUS5NQVIgMjYuSVFfU0VUVExFTUVOVF9QUklDRS4xNS8wMy8yMDI0BQAAAAAAAAAIAAAAFChJbnZhbGlkIElkZW50aWZpZXIpsejaH6BG3AiIIN8zoEbcCClDSVEuTUFZIDI1LklRX1NFVFRMRU1FTlRfUFJJQ0UuMTUvMDMvMjAyNAUAAAAAAAAACAAAABQoSW52YWxpZCBJZGVudGlmaWVyKbHo2h+gRtwIiCDfM6BG3AgpQ0lRLlNFUCAyNC5JUV9TRVRUTEVNRU5UX1BSSUNFLjE1LzAzLzIwMjQFAAAAAAAAAAgAAAAUKEludmFsaWQgSWRlbnRpZmllcimx6NofoEbcCIgg3zOgRtwIKUNJUS5BVUcgMjguSVFfU0VUVExFTUVOVF9QUklDRS4xNS8wMy8yMDI0BQAAAAAAAAAIAAAAFChJbnZhbGlkIElkZW50aWZpZXIpsejaH6BG3AiIIN8zoEbcCClDSVEuQVVHIDI0LklRX1NFVFRMRU1FTlRfUFJJQ0UuMTUvMDMvMjAyNAUAAAAAAAAACAAAABQoSW52YWxpZCBJZGVudGlmaWVyKbHo2h+gRtwIiCDfM6BG3AgpQ0lRLkpVTCAyOC5JUV9TRVRUTEVNRU5UX1BSSUNFLjE1LzAzLzIwMjQFAAAAAAAAAAgAAAAUKEludmFsaWQgSWRlbnRpZmllcimx6NofoEbcCIgg3zOgRtwIKUNJ</t>
  </si>
  <si>
    <t>US5PQ1QgMzAuSVFfU0VUVExFTUVOVF9QUklDRS4xNS8wMy8yMDI0BQAAAAAAAAAIAAAAFChJbnZhbGlkIElkZW50aWZpZXIpsejaH6BG3AiIIN8zoEbcCClDSVEuSlVOIDI5LklRX1NFVFRMRU1FTlRfUFJJQ0UuMTUvMDMvMjAyNAUAAAAAAAAACAAAABQoSW52YWxpZCBJZGVudGlmaWVyKbHo2h+gRtwIiCDfM6BG3AgpQ0lRLk9DVCAyOC5JUV9TRVRUTEVNRU5UX1BSSUNFLjE1LzAzLzIwMjQFAAAAAAAAAAgAAAAUKEludmFsaWQgSWRlbnRpZmllcimx6NofoEbcCIgg3zOgRtwIKUNJUS5KVU4gMjUuSVFfU0VUVExFTUVOVF9QUklDRS4xNS8wMy8yMDI0BQAAAAAAAAAIAAAAFChJbnZhbGlkIElkZW50aWZpZXIpsejaH6BG3AiIIN8zoEbcCClDSVEuREVDIDI1LklRX1NFVFRMRU1FTlRfUFJJQ0UuMTUvMDMvMjAyNAUAAAAAAAAACAAAABQoSW52YWxpZCBJZGVudGlmaWVyKbHo2h+gRtwIiCDfM6BG3AgpQ0lRLk5PViAyNy5JUV9TRVRUTEVNRU5UX1BSSUNFLjE1LzAzLzIwMjQFAAAAAAAAAAgAAAAUKEludmFsaWQgSWRlbnRpZmllcimx6NofoEbcCIgg3zOgRtwIKUNJUS5TRVAgMzAuSVFfU0VUVExFTUVOVF9QUklDRS4xNS8wMy8yMDI0BQAAAAAAAAAIAAAAFChJbnZhbGlkIElkZW50aWZpZXIpsejaH6BG3AiIIN8zoEbcCClDSVEuTUFZIDI5LklRX1NFVFRMRU1FTlRfUFJJQ0UuMTUvMDMvMjAyNAUAAAAA</t>
  </si>
  <si>
    <t>AAAACAAAABQoSW52YWxpZCBJZGVudGlmaWVyKbHo2h+gRtwIiCDfM6BG3AgpQ0lRLlNFUCAyOC5JUV9TRVRUTEVNRU5UX1BSSUNFLjE1LzAzLzIwMjQFAAAAAAAAAAgAAAAUKEludmFsaWQgSWRlbnRpZmllcimx6NofoEbcCIgg3zOgRtwIKUNJUS5KQU4gMjguSVFfU0VUVExFTUVOVF9QUklDRS4xNS8wMy8yMDI0BQAAAAAAAAAIAAAAFChJbnZhbGlkIElkZW50aWZpZXIpsejaH6BG3AiIIN8zoEbcCClDSVEuTUFZIDI3LklRX1NFVFRMRU1FTlRfUFJJQ0UuMTUvMDMvMjAyNAUAAAAAAAAACAAAABQoSW52YWxpZCBJZGVudGlmaWVyKbHo2h+gRtwIiCDfM6BG3AgpQ0lRLlNFUCAyNi5JUV9TRVRUTEVNRU5UX1BSSUNFLjE1LzAzLzIwMjQFAAAAAAAAAAgAAAAUKEludmFsaWQgSWRlbnRpZmllcimx6NofoEbcCIgg3zOgRtwIKUNJUS5KQU4gMjYuSVFfU0VUVExFTUVOVF9QUklDRS4xNS8wMy8yMDI0BQAAAAAAAAAIAAAAFChJbnZhbGlkIElkZW50aWZpZXIpsejaH6BG3AiIIN8zoEbcCClDSVEuQVVHIDI2LklRX1NFVFRMRU1FTlRfUFJJQ0UuMTUvMDMvMjAyNAUAAAAAAAAACAAAABQoSW52YWxpZCBJZGVudGlmaWVyKbHo2h+gRtwIiCDfM6BG3AgfQ0lRLk1BWSAyNy5JUV9TRVRUTEVNRU5UX1BSSUNFLgUAAAAAAAAACAAAABQoSW52YWxpZCBJZGVudGlmaWVyKb6juiCgRtwIvgsRIaBG3AgfQ0lRLlNFUCAy</t>
  </si>
  <si>
    <t>Ni5JUV9TRVRUTEVNRU5UX1BSSUNFLgUAAAAAAAAACAAAABQoSW52YWxpZCBJZGVudGlmaWVyKb6juiCgRtwIvgsRIaBG3AgfQ0lRLkpBTiAyNi5JUV9TRVRUTEVNRU5UX1BSSUNFLgUAAAAAAAAACAAAABQoSW52YWxpZCBJZGVudGlmaWVyKb6juiCgRtwIvgsRIaBG3AgfQ0lRLkFVRyAyNi5JUV9TRVRUTEVNRU5UX1BSSUNFLgUAAAAAAAAACAAAABQoSW52YWxpZCBJZGVudGlmaWVyKb6juiCgRtwIvgsRIaBG3AgfQ0lRLkpBTiAzMC5JUV9TRVRUTEVNRU5UX1BSSUNFLgUAAAAAAAAACAAAABQoSW52YWxpZCBJZGVudGlmaWVyKb6juiCgRtwIvgsRIaBG3AgfQ0lRLk1BWSAyOS5JUV9TRVRUTEVNRU5UX1BSSUNFLgUAAAAAAAAACAAAABQoSW52YWxpZCBJZGVudGlmaWVyKb6juiCgRtwIvgsRIaBG3AgfQ0lRLlNFUCAyOC5JUV9TRVRUTEVNRU5UX1BSSUNFLgUAAAAAAAAACAAAABQoSW52YWxpZCBJZGVudGlmaWVyKb6juiCgRtwIvgsRIaBG3AgfQ0lRLkpBTiAyOC5JUV9TRVRUTEVNRU5UX1BSSUNFLgUAAAAAAAAACAAAABQoSW52YWxpZCBJZGVudGlmaWVyKb6juiCgRtwIvgsRIaBG3AgfQ0lRLkpVTiAyNS5JUV9TRVRUTEVNRU5UX1BSSUNFLgUAAAAAAAAACAAAABQoSW52YWxpZCBJZGVudGlmaWVyKb6juiCgRtwIvgsRIaBG3AgfQ0lRLkRFQyAyNS5JUV9TRVRUTEVNRU5UX1BSSUNFLgUAAAAAAAAACAAA</t>
  </si>
  <si>
    <t>ABQoSW52YWxpZCBJZGVudGlmaWVyKb6juiCgRtwIvgsRIaBG3AgfQ0lRLk5PViAyNy5JUV9TRVRUTEVNRU5UX1BSSUNFLgUAAAAAAAAACAAAABQoSW52YWxpZCBJZGVudGlmaWVyKb6juiCgRtwIvgsRIaBG3AgfQ0lRLlNFUCAzMC5JUV9TRVRUTEVNRU5UX1BSSUNFLgUAAAAAAAAACAAAABQoSW52YWxpZCBJZGVudGlmaWVyKb6juiCgRtwIvgsRIaBG3AgfQ0lRLk9DVCAzMC5JUV9TRVRUTEVNRU5UX1BSSUNFLgUAAAAAAAAACAAAABQoSW52YWxpZCBJZGVudGlmaWVyKb6juiCgRtwIvgsRIaBG3AgfQ0lRLkZFQiAzMC5JUV9TRVRUTEVNRU5UX1BSSUNFLgUAAAAAAAAACAAAABQoSW52YWxpZCBJZGVudGlmaWVyKb6juiCgRtwIvgsRIaBG3AgfQ0lRLkpVTiAyOS5JUV9TRVRUTEVNRU5UX1BSSUNFLgUAAAAAAAAACAAAABQoSW52YWxpZCBJZGVudGlmaWVyKb6juiCgRtwIvgsRIaBG3AgfQ0lRLk9DVCAyOC5JUV9TRVRUTEVNRU5UX1BSSUNFLgUAAAAAAAAACAAAABQoSW52YWxpZCBJZGVudGlmaWVyKb6juiCgRtwIvgsRIaBG3AgfQ0lRLlNFUCAyNC5JUV9TRVRUTEVNRU5UX1BSSUNFLgUAAAAAAAAACAAAABQoSW52YWxpZCBJZGVudGlmaWVyKb6juiCgRtwIvgsRIaBG3AgfQ0lRLkFVRyAyOC5JUV9TRVRUTEVNRU5UX1BSSUNFLgUAAAAAAAAACAAAABQoSW52YWxpZCBJZGVudGlmaWVyKb6juiCgRtwIvgsR</t>
  </si>
  <si>
    <t>IaBG3AgfQ0lRLkFVRyAyNC5JUV9TRVRUTEVNRU5UX1BSSUNFLgUAAAAAAAAACAAAABQoSW52YWxpZCBJZGVudGlmaWVyKb6juiCgRtwIvgsRIaBG3AgfQ0lRLkpVTCAyOC5JUV9TRVRUTEVNRU5UX1BSSUNFLgUAAAAAAAAACAAAABQoSW52YWxpZCBJZGVudGlmaWVyKb6juiCgRtwIvgsRIaBG3AgfQ0lRLkpVTCAyNi5JUV9TRVRUTEVNRU5UX1BSSUNFLgUAAAAAAAAACAAAABQoSW52YWxpZCBJZGVudGlmaWVyKb6juiCgRtwIvgsRIaBG3AgfQ0lRLk1BUiAyNS5JUV9TRVRUTEVNRU5UX1BSSUNFLgUAAAAAAAAACAAAABQoSW52YWxpZCBJZGVudGlmaWVyKb6juiCgRtwIvgsRIaBG3AgfQ0lRLk1BUiAyNi5JUV9TRVRUTEVNRU5UX1BSSUNFLgUAAAAAAAAACAAAABQoSW52YWxpZCBJZGVudGlmaWVyKb6juiCgRtwIvgsRIaBG3AgfQ0lRLk1BWSAyNS5JUV9TRVRUTEVNRU5UX1BSSUNFLgUAAAAAAAAACAAAABQoSW52YWxpZCBJZGVudGlmaWVyKb6juiCgRtwIvgsRIaBG3AgfQ0lRLkpVTCAyOS5JUV9TRVRUTEVNRU5UX1BSSUNFLgUAAAAAAAAACAAAABQoSW52YWxpZCBJZGVudGlmaWVyKb6juiCgRtwIvgsRIaBG3AgfQ0lRLk5PViAyNi5JUV9TRVRUTEVNRU5UX1BSSUNFLgUAAAAAAAAACAAAABQoSW52YWxpZCBJZGVudGlmaWVyKb6juiCgRtwIvgsRIaBG3AgfQ0lRLkFQUiAyOS5JUV9TRVRUTEVNRU5UX1BS</t>
  </si>
  <si>
    <t>SUNFLgUAAAAAAAAACAAAABQoSW52YWxpZCBJZGVudGlmaWVyKb6juiCgRtwIvgsRIaBG3AgfQ0lRLk5PViAyOS5JUV9TRVRUTEVNRU5UX1BSSUNFLgUAAAAAAAAACAAAABQoSW52YWxpZCBJZGVudGlmaWVyKb6juiCgRtwIvgsRIaBG3AgfQ0lRLkFQUiAyNy5JUV9TRVRUTEVNRU5UX1BSSUNFLgUAAAAAAAAACAAAABQoSW52YWxpZCBJZGVudGlmaWVyKb6juiCgRtwIvgsRIaBG3AgfQ0lRLkFQUiAyNS5JUV9TRVRUTEVNRU5UX1BSSUNFLgUAAAAAAAAACAAAABQoSW52YWxpZCBJZGVudGlmaWVyKb6juiCgRtwIvgsRIaBG3AgfQ0lRLkRFQyAzMC5JUV9TRVRUTEVNRU5UX1BSSUNFLgUAAAAAAAAACAAAABQoSW52YWxpZCBJZGVudGlmaWVyKb6juiCgRtwIvgsRIaBG3AgfQ0lRLkFVRyAyNy5JUV9TRVRUTEVNRU5UX1BSSUNFLgUAAAAAAAAACAAAABQoSW52YWxpZCBJZGVudGlmaWVyKb6juiCgRtwIvgsRIaBG3AgfQ0lRLk9DVCAyNi5JUV9TRVRUTEVNRU5UX1BSSUNFLgUAAAAAAAAACAAAABQoSW52YWxpZCBJZGVudGlmaWVyKb6juiCgRtwIvgsRIaBG3AgfQ0lRLkZFQiAyNi5JUV9TRVRUTEVNRU5UX1BSSUNFLgUAAAAAAAAACAAAABQoSW52YWxpZCBJZGVudGlmaWVyKb6juiCgRtwIvgsRIaBG3AgfQ0lRLk9DVCAyNC5JUV9TRVRUTEVNRU5UX1BSSUNFLgUAAAAAAAAACAAAABQoSW52YWxpZCBJZGVudGlm</t>
  </si>
  <si>
    <t>aWVyKb6juiCgRtwIvgsRIaBG3AgfQ0lRLkRFQyAyOS5JUV9TRVRUTEVNRU5UX1BSSUNFLgUAAAAAAAAACAAAABQoSW52YWxpZCBJZGVudGlmaWVyKb6juiCgRtwIvgsRIaBG3AgfQ0lRLk5PViAyOC5JUV9TRVRUTEVNRU5UX1BSSUNFLgUAAAAAAAAACAAAABQoSW52YWxpZCBJZGVudGlmaWVyKb6juiCgRtwIvgsRIaBG3AgfQ0lRLkpVTCAyNS5JUV9TRVRUTEVNRU5UX1BSSUNFLgUAAAAAAAAACAAAABQoSW52YWxpZCBJZGVudGlmaWVyKb6juiCgRtwIvgsRIaBG3AgfQ0lRLk5PViAyNC5JUV9TRVRUTEVNRU5UX1BSSUNFLgUAAAAAAAAACAAAABQoSW52YWxpZCBJZGVudGlmaWVyKb6juiCgRtwIvgsRIaBG3AgfQ0lRLkpVTiAyNy5JUV9TRVRUTEVNRU5UX1BSSUNFLgUAAAAAAAAACAAAABQoSW52YWxpZCBJZGVudGlmaWVyKb6juiCgRtwIvgsRIaBG3AgfQ0lRLkFQUiAyOC5JUV9TRVRUTEVNRU5UX1BSSUNFLgUAAAAAAAAACAAAABQoSW52YWxpZCBJZGVudGlmaWVyKb6juiCgRtwIvgsRIaBG3AgfQ0lRLkRFQyAyNi5JUV9TRVRUTEVNRU5UX1BSSUNFLgUAAAAAAAAACAAAABQoSW52YWxpZCBJZGVudGlmaWVyKb6juiCgRtwIvgsRIaBG3AgfQ0lRLkRFQyAyNC5JUV9TRVRUTEVNRU5UX1BSSUNFLgUAAAAAAAAACAAAABQoSW52YWxpZCBJZGVudGlmaWVyKb6juiCgRtwIvgsRIaBG3AgfQ0lRLk1BUiAzMC5J</t>
  </si>
  <si>
    <t>UV9TRVRUTEVNRU5UX1BSSUNFLgUAAAAAAAAACAAAABQoSW52YWxpZCBJZGVudGlmaWVyKb6juiCgRtwIvgsRIaBG3AgfQ0lRLlNFUCAyNS5JUV9TRVRUTEVNRU5UX1BSSUNFLgUAAAAAAAAACAAAABQoSW52YWxpZCBJZGVudGlmaWVyKb6juiCgRtwIvgsRIaBG3AgfQ0lRLkpBTiAyNS5JUV9TRVRUTEVNRU5UX1BSSUNFLgUAAAAAAAAACAAAABQoSW52YWxpZCBJZGVudGlmaWVyKb6juiCgRtwIvgsRIaBG3AgfQ0lRLk1BWSAyNC5JUV9TRVRUTEVNRU5UX1BSSUNFLgUAAAAAAAAACAAAABQoSW52YWxpZCBJZGVudGlmaWVyKb6juiCgRtwIvgsRIaBG3AgfQ0lRLkFVRyAyOS5JUV9TRVRUTEVNRU5UX1BSSUNFLgUAAAAAAAAACAAAABQoSW52YWxpZCBJZGVudGlmaWVyKb6juiCgRtwIvgsRIaBG3AgfQ0lRLk1BWSAyOC5JUV9TRVRUTEVNRU5UX1BSSUNFLgUAAAAAAAAACAAAABQoSW52YWxpZCBJZGVudGlmaWVyKb6juiCgRtwIvgsRIaBG3AgfQ0lRLlNFUCAyNy5JUV9TRVRUTEVNRU5UX1BSSUNFLgUAAAAAAAAACAAAABQoSW52YWxpZCBJZGVudGlmaWVyKb6juiCgRtwIvgsRIaBG3AgfQ0lRLkpBTiAyNy5JUV9TRVRUTEVNRU5UX1BSSUNFLgUAAAAAAAAACAAAABQoSW52YWxpZCBJZGVudGlmaWVyKb6juiCgRtwIvgsRIaBG3AgfQ0lRLk1BWSAyNi5JUV9TRVRUTEVNRU5UX1BSSUNFLgUAAAAAAAAACAAAABQo</t>
  </si>
  <si>
    <t>SW52YWxpZCBJZGVudGlmaWVyKb6juiCgRtwIvgsRIaBG3AgfQ0lRLk1BWSAzMC5JUV9TRVRUTEVNRU5UX1BSSUNFLgUAAAAAAAAACAAAABQoSW52YWxpZCBJZGVudGlmaWVyKb6juiCgRtwIwMYQIaBG3AgfQ0lRLlNFUCAyOS5JUV9TRVRUTEVNRU5UX1BSSUNFLgUAAAAAAAAACAAAABQoSW52YWxpZCBJZGVudGlmaWVyKb6juiCgRtwIwMYQIaBG3AgfQ0lRLkpBTiAyOS5JUV9TRVRUTEVNRU5UX1BSSUNFLgUAAAAAAAAACAAAABQoSW52YWxpZCBJZGVudGlmaWVyKb6juiCgRtwIvgsRIaBG3AgfQ0lRLk1BUiAyOS5JUV9TRVRUTEVNRU5UX1BSSUNFLgUAAAAAAAAACAAAABQoSW52YWxpZCBJZGVudGlmaWVyKb6juiCgRtwIwMYQIaBG3AgfQ0lRLk1BUiAyNy5JUV9TRVRUTEVNRU5UX1BSSUNFLgUAAAAAAAAACAAAABQoSW52YWxpZCBJZGVudGlmaWVyKb6juiCgRtwIwMYQIaBG3AgfQ0lRLk5PViAyNS5JUV9TRVRUTEVNRU5UX1BSSUNFLgUAAAAAAAAACAAAABQoSW52YWxpZCBJZGVudGlmaWVyKb6juiCgRtwIwMYQIaBG3AgfQ0lRLkpVTCAyNC5JUV9TRVRUTEVNRU5UX1BSSUNFLgUAAAAAAAAACAAAABQoSW52YWxpZCBJZGVudGlmaWVyKb6juiCgRtwIwMYQIaBG3AgfQ0lRLkZFQiAyOC5JUV9TRVRUTEVNRU5UX1BSSUNFLgUAAAAAAAAACAAAABQoSW52YWxpZCBJZGVudGlmaWVyKb6juiCgRtwIXuwPIaBG</t>
  </si>
  <si>
    <t>3AgfQ0lRLkFVRyAzMC5JUV9TRVRUTEVNRU5UX1BSSUNFLgUAAAAAAAAACAAAABQoSW52YWxpZCBJZGVudGlmaWVyKb6juiCgRtwIXuwPIaBG3AgfQ0lRLkRFQyAyNy5JUV9TRVRUTEVNRU5UX1BSSUNFLgUAAAAAAAAACAAAABQoSW52YWxpZCBJZGVudGlmaWVyKb6juiCgRtwIXuwPIaBG3AgfQ0lRLkpVTCAzMC5JUV9TRVRUTEVNRU5UX1BSSUNFLgUAAAAAAAAACAAAABQoSW52YWxpZCBJZGVudGlmaWVyKb6juiCgRtwIwMYQIaBG3AgfQ0lRLkFQUiAyNC5JUV9TRVRUTEVNRU5UX1BSSUNFLgUAAAAAAAAACAAAABQoSW52YWxpZCBJZGVudGlmaWVyKb6juiCgRtwIXuwPIaBG3AgfQ0lRLk5PViAzMC5JUV9TRVRUTEVNRU5UX1BSSUNFLgUAAAAAAAAACAAAABQoSW52YWxpZCBJZGVudGlmaWVyKb6juiCgRtwIXuwPIaBG3AgfQ0lRLk1BUiAyOC5JUV9TRVRUTEVNRU5UX1BSSUNFLgUAAAAAAAAACAAAABQoSW52YWxpZCBJZGVudGlmaWVyKb6juiCgRtwIXuwPIaBG3AgfQ0lRLkpVTCAyNy5JUV9TRVRUTEVNRU5UX1BSSUNFLgUAAAAAAAAACAAAABQoSW52YWxpZCBJZGVudGlmaWVyKb6juiCgRtwIXuwPIaBG3AgfQ0lRLkFQUiAzMC5JUV9TRVRUTEVNRU5UX1BSSUNFLgUAAAAAAAAACAAAABQoSW52YWxpZCBJZGVudGlmaWVyKb6juiCgRtwIXuwPIaBG3AgfQ0lRLkRFQyAyOC5JUV9TRVRUTEVNRU5UX1BSSUNF</t>
  </si>
  <si>
    <t>LgUAAAAAAAAACAAAABQoSW52YWxpZCBJZGVudGlmaWVyKb6juiCgRtwIXuwPIaBG3AgfQ0lRLkFQUiAyNi5JUV9TRVRUTEVNRU5UX1BSSUNFLgUAAAAAAAAACAAAABQoSW52YWxpZCBJZGVudGlmaWVyKb6juiCgRtwIXuwPIaBG3AgfQ0lRLkFVRyAyNS5JUV9TRVRUTEVNRU5UX1BSSUNFLgUAAAAAAAAACAAAABQoSW52YWxpZCBJZGVudGlmaWVyKb6juiCgRtwIXuwPIaBG3AgfQ0lRLkpVTiAyNi5JUV9TRVRUTEVNRU5UX1BSSUNFLgUAAAAAAAAACAAAABQoSW52YWxpZCBJZGVudGlmaWVyKb6juiCgRtwIXuwPIaBG3AgfQ0lRLk9DVCAyNS5JUV9TRVRUTEVNRU5UX1BSSUNFLgUAAAAAAAAACAAAABQoSW52YWxpZCBJZGVudGlmaWVyKb6juiCgRtwIXuwPIaBG3AgfQ0lRLkZFQiAyNS5JUV9TRVRUTEVNRU5UX1BSSUNFLgUAAAAAAAAACAAAABQoSW52YWxpZCBJZGVudGlmaWVyKb6juiCgRtwIXuwPIaBG3AgfQ0lRLkpVTiAyNC5JUV9TRVRUTEVNRU5UX1BSSUNFLgUAAAAAAAAACAAAABQoSW52YWxpZCBJZGVudGlmaWVyKb6juiCgRtwIXuwPIaBG3AgfQ0lRLkZFQiAyOS5JUV9TRVRUTEVNRU5UX1BSSUNFLgUAAAAAAAAACAAAABQoSW52YWxpZCBJZGVudGlmaWVyKb6juiCgRtwIXuwPIaBG3AgfQ0lRLkpVTiAyOC5JUV9TRVRUTEVNRU5UX1BSSUNFLgUAAAAAAAAACAAAABQoSW52YWxpZCBJZGVudGlmaWVy</t>
  </si>
  <si>
    <t>Kb6juiCgRtwIXuwPIaBG3AgfQ0lRLk9DVCAyNy5JUV9TRVRUTEVNRU5UX1BSSUNFLgUAAAAAAAAACAAAABQoSW52YWxpZCBJZGVudGlmaWVyKb6juiCgRtwIXuwPIaBG3AgfQ0lRLkZFQiAyNy5JUV9TRVRUTEVNRU5UX1BSSUNFLgUAAAAAAAAACAAAABQoSW52YWxpZCBJZGVudGlmaWVyKb6juiCgRtwIXuwPIaBG3AgfQ0lRLkpVTiAzMC5JUV9TRVRUTEVNRU5UX1BSSUNFLgUAAAAAAAAACAAAABQoSW52YWxpZCBJZGVudGlmaWVyKb6juiCgRtwIXuwPIaBG3AgfQ0lRLk9DVCAyOS5JUV9TRVRUTEVNRU5UX1BSSUNFLgUAAAAAAAAACAAAABQoSW52YWxpZCBJZGVudGlmaWVyKb6juiCgRtwIXuwPIaBG3Ag=</t>
  </si>
  <si>
    <t>Spread Títulos Americanos</t>
  </si>
  <si>
    <t>Taxa de Juros Média das Dívidas da PRIO (%)</t>
  </si>
  <si>
    <t>Petrorio ON</t>
  </si>
  <si>
    <t>Economatica</t>
  </si>
  <si>
    <t>Em R$ Real em milhares</t>
  </si>
  <si>
    <t>Consolidado</t>
  </si>
  <si>
    <t>DIVERSOS</t>
  </si>
  <si>
    <t xml:space="preserve"> Metodo Contabil</t>
  </si>
  <si>
    <t>L.S.</t>
  </si>
  <si>
    <t>IFRS</t>
  </si>
  <si>
    <t xml:space="preserve"> Link notas explicativas</t>
  </si>
  <si>
    <t>not copied</t>
  </si>
  <si>
    <t>ATIVO</t>
  </si>
  <si>
    <t xml:space="preserve"> Ativo total</t>
  </si>
  <si>
    <t xml:space="preserve"> Ativo Circulante</t>
  </si>
  <si>
    <t xml:space="preserve"> Caixa e equivalentes de caixa</t>
  </si>
  <si>
    <t>-</t>
  </si>
  <si>
    <t xml:space="preserve"> Aplicacoes financeiras</t>
  </si>
  <si>
    <t xml:space="preserve"> Apl fin avali vlr jus CP</t>
  </si>
  <si>
    <t xml:space="preserve"> Aplicacoes financeiras avaliadas a valor justo atraves do resultado CP</t>
  </si>
  <si>
    <t xml:space="preserve"> Titulos para negociacao CP</t>
  </si>
  <si>
    <t xml:space="preserve"> Titulos designados a valor justo CP</t>
  </si>
  <si>
    <t xml:space="preserve"> Outros</t>
  </si>
  <si>
    <t xml:space="preserve"> Aplicacoes financeiras avaliadas a valor justo atraves de outros resultados abrangentes CP</t>
  </si>
  <si>
    <t xml:space="preserve"> Apl fi aval custo amo CP</t>
  </si>
  <si>
    <t xml:space="preserve"> Contas a receber CP</t>
  </si>
  <si>
    <t xml:space="preserve"> Clientes CP</t>
  </si>
  <si>
    <t xml:space="preserve"> Outras contas a receb CP</t>
  </si>
  <si>
    <t xml:space="preserve"> Estoques</t>
  </si>
  <si>
    <t xml:space="preserve"> Ativos Biologicos CP</t>
  </si>
  <si>
    <t xml:space="preserve"> Impostos a Recuperar</t>
  </si>
  <si>
    <t xml:space="preserve"> Tributos cor a recuperar</t>
  </si>
  <si>
    <t xml:space="preserve"> Despesas pagas antecip</t>
  </si>
  <si>
    <t xml:space="preserve"> Outros ativos circulante</t>
  </si>
  <si>
    <t xml:space="preserve"> Atvs naocor mant p/venda</t>
  </si>
  <si>
    <t xml:space="preserve"> Operacoes Descon CP</t>
  </si>
  <si>
    <t xml:space="preserve"> Outros Ativos</t>
  </si>
  <si>
    <t xml:space="preserve"> Ativo nao circulante</t>
  </si>
  <si>
    <t xml:space="preserve"> Realizavel LP</t>
  </si>
  <si>
    <t xml:space="preserve"> Aplicacao financeira avaliada a valor justo LP</t>
  </si>
  <si>
    <t xml:space="preserve"> Aplicacoes financeiras avaliadas a valor justo atraves do resultado LP</t>
  </si>
  <si>
    <t xml:space="preserve"> Titulos designados a valor justo LP</t>
  </si>
  <si>
    <t xml:space="preserve"> Aplicacoes financeiras avaliadas a valor justo atraves de outros resultados abrangentes LP</t>
  </si>
  <si>
    <t xml:space="preserve"> Aplicacao financeira avaliada a custo amortizado LP</t>
  </si>
  <si>
    <t xml:space="preserve"> Contas a receber LP</t>
  </si>
  <si>
    <t xml:space="preserve"> Clientes LP</t>
  </si>
  <si>
    <t xml:space="preserve"> Out contas a cobrar LP</t>
  </si>
  <si>
    <t xml:space="preserve"> Estoques LP</t>
  </si>
  <si>
    <t xml:space="preserve"> Ativos Biologicos LP</t>
  </si>
  <si>
    <t xml:space="preserve"> Impostos Diferidos</t>
  </si>
  <si>
    <t xml:space="preserve"> IR e contr social difer</t>
  </si>
  <si>
    <t xml:space="preserve"> Despesas antecipadas</t>
  </si>
  <si>
    <t xml:space="preserve"> A receb de partes relaci</t>
  </si>
  <si>
    <t xml:space="preserve"> de Coligadas</t>
  </si>
  <si>
    <t xml:space="preserve"> de Controladas</t>
  </si>
  <si>
    <t xml:space="preserve"> Creditos com controlador</t>
  </si>
  <si>
    <t xml:space="preserve"> A rec de outr part relac</t>
  </si>
  <si>
    <t xml:space="preserve"> Outros ativos nao circul</t>
  </si>
  <si>
    <t xml:space="preserve"> Atv ncor mant p/venda LP</t>
  </si>
  <si>
    <t xml:space="preserve"> Operacoes Descontin LP</t>
  </si>
  <si>
    <t xml:space="preserve"> Investimentos</t>
  </si>
  <si>
    <t xml:space="preserve"> Inv em subsid e outros</t>
  </si>
  <si>
    <t xml:space="preserve"> Investim em coligadas</t>
  </si>
  <si>
    <t xml:space="preserve"> Investim em controladas</t>
  </si>
  <si>
    <t xml:space="preserve"> Inves em control em conj</t>
  </si>
  <si>
    <t xml:space="preserve"> Outr invest em empr rela</t>
  </si>
  <si>
    <t xml:space="preserve"> Propriedades p/ investim</t>
  </si>
  <si>
    <t xml:space="preserve"> Imobilizado</t>
  </si>
  <si>
    <t xml:space="preserve"> Em operacao</t>
  </si>
  <si>
    <t xml:space="preserve"> Arrendado</t>
  </si>
  <si>
    <t xml:space="preserve"> Imobilizacoes em Curso</t>
  </si>
  <si>
    <t xml:space="preserve"> Intangiveis liquido</t>
  </si>
  <si>
    <t xml:space="preserve"> Intangiveis</t>
  </si>
  <si>
    <t xml:space="preserve"> Contrato de concessao LP</t>
  </si>
  <si>
    <t xml:space="preserve"> Goodwill</t>
  </si>
  <si>
    <t>PASSIVO</t>
  </si>
  <si>
    <t xml:space="preserve"> Passivo e patrimonio liq</t>
  </si>
  <si>
    <t xml:space="preserve"> Passivo Circulante</t>
  </si>
  <si>
    <t xml:space="preserve"> Obrig sociais e trabalh</t>
  </si>
  <si>
    <t xml:space="preserve"> Obrigacoes sociais</t>
  </si>
  <si>
    <t xml:space="preserve"> Obrigac trabalhistas CP</t>
  </si>
  <si>
    <t xml:space="preserve"> Fornecedores CP</t>
  </si>
  <si>
    <t xml:space="preserve"> Nacionais</t>
  </si>
  <si>
    <t xml:space="preserve"> Estrangeiros</t>
  </si>
  <si>
    <t xml:space="preserve"> Impostos a pagar</t>
  </si>
  <si>
    <t xml:space="preserve"> Federais</t>
  </si>
  <si>
    <t xml:space="preserve"> IR e contrib social a pg</t>
  </si>
  <si>
    <t xml:space="preserve"> Estaduais</t>
  </si>
  <si>
    <t xml:space="preserve"> Municipais</t>
  </si>
  <si>
    <t xml:space="preserve"> Total empres e financ CP</t>
  </si>
  <si>
    <t xml:space="preserve"> Financiamento CP</t>
  </si>
  <si>
    <t xml:space="preserve"> Financ moeda nacion CP</t>
  </si>
  <si>
    <t xml:space="preserve"> Financ moeda estrg CP</t>
  </si>
  <si>
    <t xml:space="preserve"> Debentures CP</t>
  </si>
  <si>
    <t xml:space="preserve"> Financ por arrend financ</t>
  </si>
  <si>
    <t xml:space="preserve"> Outras obrigacoes CP</t>
  </si>
  <si>
    <t xml:space="preserve"> Passivos com partes relacionadas CP</t>
  </si>
  <si>
    <t xml:space="preserve"> A pagar a coligadas CP</t>
  </si>
  <si>
    <t xml:space="preserve"> A pagar a controladas CP</t>
  </si>
  <si>
    <t xml:space="preserve"> A pag a controladores CP</t>
  </si>
  <si>
    <t xml:space="preserve"> A pag a out part rela CP</t>
  </si>
  <si>
    <t xml:space="preserve"> Outros CP</t>
  </si>
  <si>
    <t xml:space="preserve"> Dividendos a Pagar CP</t>
  </si>
  <si>
    <t xml:space="preserve"> Dividendo min obrig a pg</t>
  </si>
  <si>
    <t xml:space="preserve"> Obr p/pg bas em acoes CP</t>
  </si>
  <si>
    <t xml:space="preserve"> Provisoes CP</t>
  </si>
  <si>
    <t xml:space="preserve"> Prov fis,pre,trab&amp;civ CP</t>
  </si>
  <si>
    <t xml:space="preserve"> Provisoes Para Impostos</t>
  </si>
  <si>
    <t xml:space="preserve"> Prov previd e trabalh CP</t>
  </si>
  <si>
    <t xml:space="preserve"> Provisao por beneficios aos empregados CP</t>
  </si>
  <si>
    <t xml:space="preserve"> Provisoes civeis CP</t>
  </si>
  <si>
    <t xml:space="preserve"> Outras provisoes a curto prazo</t>
  </si>
  <si>
    <t xml:space="preserve"> Provisoes p/garantias CP</t>
  </si>
  <si>
    <t xml:space="preserve"> Prov para reestrutur CP</t>
  </si>
  <si>
    <t xml:space="preserve"> Prov pas ambi e desat CP</t>
  </si>
  <si>
    <t xml:space="preserve"> Pa s/at ncor a ve+des CP</t>
  </si>
  <si>
    <t xml:space="preserve"> Pas s/ ativ ncor a ve CP</t>
  </si>
  <si>
    <t xml:space="preserve"> Pas s/ativ oper desco CP</t>
  </si>
  <si>
    <t xml:space="preserve"> Passivo nao circulante</t>
  </si>
  <si>
    <t xml:space="preserve"> Total empres e financ LP</t>
  </si>
  <si>
    <t xml:space="preserve"> Financiamento LP</t>
  </si>
  <si>
    <t xml:space="preserve"> Financ moeda nacion LP</t>
  </si>
  <si>
    <t xml:space="preserve"> Financ moeda estrg LP</t>
  </si>
  <si>
    <t xml:space="preserve"> Debentures LP</t>
  </si>
  <si>
    <t xml:space="preserve"> Financ por arrend fin LP</t>
  </si>
  <si>
    <t xml:space="preserve"> Outras obrigacoes</t>
  </si>
  <si>
    <t xml:space="preserve"> Passivos com partes relacionadas LP</t>
  </si>
  <si>
    <t xml:space="preserve"> A pagar a coligadas LP</t>
  </si>
  <si>
    <t xml:space="preserve"> A pagar a controladas LP</t>
  </si>
  <si>
    <t xml:space="preserve"> A pag a controladores LP</t>
  </si>
  <si>
    <t xml:space="preserve"> A pag a out part rela LP</t>
  </si>
  <si>
    <t xml:space="preserve"> Outros LP</t>
  </si>
  <si>
    <t xml:space="preserve"> Obr p/pg bas em acoes LP</t>
  </si>
  <si>
    <t xml:space="preserve"> Adi p/fut aum d cap pass</t>
  </si>
  <si>
    <t xml:space="preserve"> Impostos Diferidos LP</t>
  </si>
  <si>
    <t xml:space="preserve"> IR e contri social difer</t>
  </si>
  <si>
    <t xml:space="preserve"> Provisoes LP</t>
  </si>
  <si>
    <t xml:space="preserve"> Prv fis,pre,trab&amp;civ LP</t>
  </si>
  <si>
    <t xml:space="preserve"> Provisoes fiscais LP</t>
  </si>
  <si>
    <t xml:space="preserve"> Prov previd e trabalh LP</t>
  </si>
  <si>
    <t xml:space="preserve"> Provisao por beneficio a empregados</t>
  </si>
  <si>
    <t xml:space="preserve"> Provisoes civeis LP</t>
  </si>
  <si>
    <t xml:space="preserve"> Outras provisoes a longo prazo</t>
  </si>
  <si>
    <t xml:space="preserve"> Provisoes p/garantias LP</t>
  </si>
  <si>
    <t xml:space="preserve"> Prov para reestrutur LP</t>
  </si>
  <si>
    <t xml:space="preserve"> Prov pas ambi e desat LP</t>
  </si>
  <si>
    <t xml:space="preserve"> Pa s/at ncor a ve+des LP</t>
  </si>
  <si>
    <t xml:space="preserve"> Pas s/ ativ ncor a ve LP</t>
  </si>
  <si>
    <t xml:space="preserve"> Pas s/ativ oper desco LP</t>
  </si>
  <si>
    <t xml:space="preserve"> Lucros e receit a apropr</t>
  </si>
  <si>
    <t xml:space="preserve"> Lucros a apropriar</t>
  </si>
  <si>
    <t xml:space="preserve"> Receitas a apropriar</t>
  </si>
  <si>
    <t xml:space="preserve"> Subvenc de invest a apro</t>
  </si>
  <si>
    <t xml:space="preserve"> Patrim liq consolidado</t>
  </si>
  <si>
    <t xml:space="preserve"> Part acionistas minorit</t>
  </si>
  <si>
    <t xml:space="preserve"> Patrimonio liquido</t>
  </si>
  <si>
    <t xml:space="preserve"> Capital social</t>
  </si>
  <si>
    <t xml:space="preserve"> Reservas de Capital</t>
  </si>
  <si>
    <t xml:space="preserve"> Agio na emissao de acoes</t>
  </si>
  <si>
    <t xml:space="preserve"> Res esp de agio na incor</t>
  </si>
  <si>
    <t xml:space="preserve"> Alien de bonus de subscr</t>
  </si>
  <si>
    <t xml:space="preserve"> Opcoes outorgadas</t>
  </si>
  <si>
    <t xml:space="preserve"> Acoes em tesour (re cap)</t>
  </si>
  <si>
    <t xml:space="preserve"> Adiant p fut aum de cap</t>
  </si>
  <si>
    <t xml:space="preserve"> Reservas de Reavaliacao</t>
  </si>
  <si>
    <t xml:space="preserve"> Reserva de Lucros</t>
  </si>
  <si>
    <t xml:space="preserve"> Reserva Legal</t>
  </si>
  <si>
    <t xml:space="preserve"> Reserva Estatutaria</t>
  </si>
  <si>
    <t xml:space="preserve"> Reserva p/ Contingencias</t>
  </si>
  <si>
    <t xml:space="preserve"> Reservas de Luc a Realz</t>
  </si>
  <si>
    <t xml:space="preserve"> Resv de Retencao de Luc</t>
  </si>
  <si>
    <t xml:space="preserve"> Resv Esp p/ Div nao Dist</t>
  </si>
  <si>
    <t xml:space="preserve"> Reserva de incen fiscais</t>
  </si>
  <si>
    <t xml:space="preserve"> Dividendo adicional prop</t>
  </si>
  <si>
    <t xml:space="preserve"> Acoes em tesour (re luc)</t>
  </si>
  <si>
    <t xml:space="preserve"> Lucros acumulados</t>
  </si>
  <si>
    <t xml:space="preserve"> Ajustes de aval patrimon</t>
  </si>
  <si>
    <t xml:space="preserve"> Ajustes acumul de conver</t>
  </si>
  <si>
    <t xml:space="preserve"> Outr result abrangentes</t>
  </si>
  <si>
    <t>DEM RESULT</t>
  </si>
  <si>
    <t xml:space="preserve"> Meses</t>
  </si>
  <si>
    <t>+Receita liquida operac</t>
  </si>
  <si>
    <t>-Custo Produtos Vendidos</t>
  </si>
  <si>
    <t>=Lucro Bruto</t>
  </si>
  <si>
    <t>-Desp (receit) operac</t>
  </si>
  <si>
    <t>+Despesas com Vendas</t>
  </si>
  <si>
    <t>+Despesas administrativ</t>
  </si>
  <si>
    <t>+Per p/ nao recuper de at</t>
  </si>
  <si>
    <t>-Outras rec operacionais</t>
  </si>
  <si>
    <t>+Outras Despesas Operac</t>
  </si>
  <si>
    <t>-Equivalenc patrimonial</t>
  </si>
  <si>
    <t>=Lucro antes jur&amp;imp EBIT</t>
  </si>
  <si>
    <t>+Resultado financeiro</t>
  </si>
  <si>
    <t>+Receitas Financeiras</t>
  </si>
  <si>
    <t>-Despesas Financeiras</t>
  </si>
  <si>
    <t>=LAIR</t>
  </si>
  <si>
    <t>-Imp renda e contrib soc</t>
  </si>
  <si>
    <t xml:space="preserve"> Provisao impost de rend</t>
  </si>
  <si>
    <t xml:space="preserve"> IR Diferido</t>
  </si>
  <si>
    <t>=Lucro oper continuadas</t>
  </si>
  <si>
    <t>+Operac descontinuadas</t>
  </si>
  <si>
    <t xml:space="preserve"> Lu ou prej liq oper desc</t>
  </si>
  <si>
    <t xml:space="preserve"> Ga ou pe liq s/atv op de</t>
  </si>
  <si>
    <t>=Lucro Consolidado</t>
  </si>
  <si>
    <t>-Partic acion minoritar</t>
  </si>
  <si>
    <t>=Lucro liquido</t>
  </si>
  <si>
    <t>FLX CAIXA</t>
  </si>
  <si>
    <t>+Caixa gerado por operac</t>
  </si>
  <si>
    <t xml:space="preserve"> Caixa gerado nas operac</t>
  </si>
  <si>
    <t xml:space="preserve"> Lucro liquido</t>
  </si>
  <si>
    <t xml:space="preserve"> Deprec, amortiz e exaust</t>
  </si>
  <si>
    <t xml:space="preserve"> Perd(gan) var monet&amp;camb</t>
  </si>
  <si>
    <t xml:space="preserve"> Perd(gan) venda atv perm</t>
  </si>
  <si>
    <t xml:space="preserve"> Valor contab bem vendido</t>
  </si>
  <si>
    <t xml:space="preserve"> Perd(gan) na equival pat</t>
  </si>
  <si>
    <t xml:space="preserve"> Impostos diferidos</t>
  </si>
  <si>
    <t xml:space="preserve"> Gan(perd) dos minorit</t>
  </si>
  <si>
    <t xml:space="preserve"> Out perd(gan) nao caixa</t>
  </si>
  <si>
    <t xml:space="preserve"> Redu(aum) em ativ e pass</t>
  </si>
  <si>
    <t xml:space="preserve"> Redu(aum) dupl a receber</t>
  </si>
  <si>
    <t xml:space="preserve"> Redu(aum) estoques</t>
  </si>
  <si>
    <t xml:space="preserve"> Redu(aum) outros ativos</t>
  </si>
  <si>
    <t xml:space="preserve"> Aum(redu) fornecedores</t>
  </si>
  <si>
    <t xml:space="preserve"> Aum(redu) imp e obr trab</t>
  </si>
  <si>
    <t xml:space="preserve"> Aum(redu) outr passivos</t>
  </si>
  <si>
    <t xml:space="preserve"> Out Itens do Flx Cx Oper</t>
  </si>
  <si>
    <t>+Caixa gerado por invest</t>
  </si>
  <si>
    <t xml:space="preserve"> Compra liq de ativo perm</t>
  </si>
  <si>
    <t xml:space="preserve"> Compra de invest perman</t>
  </si>
  <si>
    <t xml:space="preserve"> Compra ativos fix e dif</t>
  </si>
  <si>
    <t xml:space="preserve"> Venda de ativo permanent</t>
  </si>
  <si>
    <t xml:space="preserve"> Dividendos recebidos</t>
  </si>
  <si>
    <t xml:space="preserve"> Resg (aplic) financ liq</t>
  </si>
  <si>
    <t xml:space="preserve"> Cx gerado(aplic) out inv</t>
  </si>
  <si>
    <t>+Caixa gerado por financ</t>
  </si>
  <si>
    <t xml:space="preserve"> Financiament obtidos liq</t>
  </si>
  <si>
    <t xml:space="preserve"> Financiamentos obtidos</t>
  </si>
  <si>
    <t xml:space="preserve"> Financiamentos pagos</t>
  </si>
  <si>
    <t xml:space="preserve"> Aumento liq de capital</t>
  </si>
  <si>
    <t xml:space="preserve"> Aumento de capital</t>
  </si>
  <si>
    <t xml:space="preserve"> Reducao de capital</t>
  </si>
  <si>
    <t xml:space="preserve"> Dividendos pagos</t>
  </si>
  <si>
    <t xml:space="preserve"> Cx gerado(aplic) out fin</t>
  </si>
  <si>
    <t>+Efeito Cambial</t>
  </si>
  <si>
    <t>+Outras variacoes</t>
  </si>
  <si>
    <t>=Variac liquida de caixa</t>
  </si>
  <si>
    <t xml:space="preserve"> Disponivel e Inv CP</t>
  </si>
  <si>
    <t xml:space="preserve"> Creditos Comerciais CP</t>
  </si>
  <si>
    <t xml:space="preserve"> Creditos diversos</t>
  </si>
  <si>
    <t xml:space="preserve"> Aplicacoes Financ CP</t>
  </si>
  <si>
    <t xml:space="preserve"> Outros Creditos CP</t>
  </si>
  <si>
    <t xml:space="preserve"> Outros Ativos CP</t>
  </si>
  <si>
    <t xml:space="preserve"> Creditos Comerciais LP</t>
  </si>
  <si>
    <t xml:space="preserve"> A Receber de Control LP</t>
  </si>
  <si>
    <t xml:space="preserve"> de Outras Pessoas Ligads</t>
  </si>
  <si>
    <t xml:space="preserve"> Outros Ativos LP</t>
  </si>
  <si>
    <t xml:space="preserve"> Permanente</t>
  </si>
  <si>
    <t xml:space="preserve"> Inv em coligadas</t>
  </si>
  <si>
    <t xml:space="preserve"> Inv em coligadas - agio</t>
  </si>
  <si>
    <t xml:space="preserve"> Invest em Subsidiarias</t>
  </si>
  <si>
    <t xml:space="preserve"> Inv em subsid - agio</t>
  </si>
  <si>
    <t xml:space="preserve"> Outros Investimentos</t>
  </si>
  <si>
    <t xml:space="preserve"> Intangiveis e agio</t>
  </si>
  <si>
    <t xml:space="preserve"> Diferido</t>
  </si>
  <si>
    <t xml:space="preserve"> Impostos a Pagar CP</t>
  </si>
  <si>
    <t xml:space="preserve"> A Pagar a Controlad CP</t>
  </si>
  <si>
    <t xml:space="preserve"> Outros Passivos CP</t>
  </si>
  <si>
    <t xml:space="preserve"> Exigivel LP</t>
  </si>
  <si>
    <t xml:space="preserve"> A Pagar a Controlad LP</t>
  </si>
  <si>
    <t xml:space="preserve"> Outros Passivos LP</t>
  </si>
  <si>
    <t xml:space="preserve"> Resultados de Exer Futur</t>
  </si>
  <si>
    <t xml:space="preserve"> Ativos Proprios</t>
  </si>
  <si>
    <t xml:space="preserve"> Ativos de Contr/Colig</t>
  </si>
  <si>
    <t xml:space="preserve"> Outras reservas</t>
  </si>
  <si>
    <t xml:space="preserve"> Ajuste titulos val mobil</t>
  </si>
  <si>
    <t xml:space="preserve"> Ajustes de comb de negoc</t>
  </si>
  <si>
    <t xml:space="preserve"> Divida Fin Moeda Estrang</t>
  </si>
  <si>
    <t>+Receita Bruta</t>
  </si>
  <si>
    <t>-Impostos sobre Vendas</t>
  </si>
  <si>
    <t>=Receita liquida operac</t>
  </si>
  <si>
    <t>-Despesas operac proprias</t>
  </si>
  <si>
    <t xml:space="preserve"> Despesas com Vendas</t>
  </si>
  <si>
    <t xml:space="preserve"> Despesas administrativ</t>
  </si>
  <si>
    <t>+Outras rec(desp)operac</t>
  </si>
  <si>
    <t>+Outras receitas operac</t>
  </si>
  <si>
    <t>-Outras despesas operac</t>
  </si>
  <si>
    <t>=Lucro operac (antigo)</t>
  </si>
  <si>
    <t>+Result Financ (antigo)</t>
  </si>
  <si>
    <t>-Desp Fin e Juros s/ Patr</t>
  </si>
  <si>
    <t xml:space="preserve"> Despesas Financeiras</t>
  </si>
  <si>
    <t xml:space="preserve"> Juros s/Patrim Liquido</t>
  </si>
  <si>
    <t>+Equivalenc patrimonial</t>
  </si>
  <si>
    <t>=Lucro Operacional</t>
  </si>
  <si>
    <t>+Resultado nao Operac</t>
  </si>
  <si>
    <t>+Receitas Nao Operac</t>
  </si>
  <si>
    <t>-Despesas Nao Operac</t>
  </si>
  <si>
    <t>-Provisao impost de rend</t>
  </si>
  <si>
    <t>-IR Diferido</t>
  </si>
  <si>
    <t>-Partic/Contrib Estatut</t>
  </si>
  <si>
    <t xml:space="preserve"> Participacoes Estatut</t>
  </si>
  <si>
    <t xml:space="preserve"> Contribuicoes Estatut</t>
  </si>
  <si>
    <t>+Rever Juros s/Patr Liqui</t>
  </si>
  <si>
    <t>DOAR</t>
  </si>
  <si>
    <t>+Tot de Recursos Obtidos</t>
  </si>
  <si>
    <t xml:space="preserve"> Das Operacoes</t>
  </si>
  <si>
    <t xml:space="preserve"> Lucro Liquido</t>
  </si>
  <si>
    <t xml:space="preserve"> Itens q nao Afet CapCir</t>
  </si>
  <si>
    <t xml:space="preserve"> Deprec, amort e exaust</t>
  </si>
  <si>
    <t xml:space="preserve"> Variacoes Monetar LP</t>
  </si>
  <si>
    <t xml:space="preserve"> Provis Itens nao Circ</t>
  </si>
  <si>
    <t xml:space="preserve"> Venda de ativos fixos</t>
  </si>
  <si>
    <t xml:space="preserve"> Ganhos part societ diver</t>
  </si>
  <si>
    <t xml:space="preserve"> Equivalencia Patrimon</t>
  </si>
  <si>
    <t xml:space="preserve"> Ajustes de exerc anter</t>
  </si>
  <si>
    <t xml:space="preserve"> Credito Tribut a Recup</t>
  </si>
  <si>
    <t xml:space="preserve"> Imposto Renda Diferido</t>
  </si>
  <si>
    <t xml:space="preserve"> Mutuo c/Control/Coligada</t>
  </si>
  <si>
    <t xml:space="preserve"> Provis Perdas em Invest</t>
  </si>
  <si>
    <t xml:space="preserve"> Gan(perd) dos minoritar</t>
  </si>
  <si>
    <t xml:space="preserve"> Provisoes diversas</t>
  </si>
  <si>
    <t xml:space="preserve"> Outros fluxos operacion</t>
  </si>
  <si>
    <t xml:space="preserve"> Integralizacao de capit</t>
  </si>
  <si>
    <t xml:space="preserve"> De Terceiros</t>
  </si>
  <si>
    <t xml:space="preserve"> Venda/Baixa Bens Permane</t>
  </si>
  <si>
    <t xml:space="preserve"> Incentivos Fiscais</t>
  </si>
  <si>
    <t xml:space="preserve"> Aumento do Passivo LP</t>
  </si>
  <si>
    <t xml:space="preserve"> Reducao do Realiz LP</t>
  </si>
  <si>
    <t xml:space="preserve"> Cap Circ Incor Cont/Coli</t>
  </si>
  <si>
    <t xml:space="preserve"> Transf Perm para Circ</t>
  </si>
  <si>
    <t xml:space="preserve"> Aumto de Acoes Tesour</t>
  </si>
  <si>
    <t xml:space="preserve"> Financmtos e Debent</t>
  </si>
  <si>
    <t xml:space="preserve"> Outras Origens</t>
  </si>
  <si>
    <t>-Tot Recurs Aplicados</t>
  </si>
  <si>
    <t xml:space="preserve"> Aplic no Ativo Permanent</t>
  </si>
  <si>
    <t xml:space="preserve"> Aumento invest permanen</t>
  </si>
  <si>
    <t xml:space="preserve"> Compra de ativos fixos</t>
  </si>
  <si>
    <t xml:space="preserve"> Aumento do Diferido</t>
  </si>
  <si>
    <t xml:space="preserve"> Aumento do Realiz LP</t>
  </si>
  <si>
    <t xml:space="preserve"> Diminuicao de Pasv LP</t>
  </si>
  <si>
    <t xml:space="preserve"> Dividendos</t>
  </si>
  <si>
    <t xml:space="preserve"> Transf do Circ p/ Perm</t>
  </si>
  <si>
    <t xml:space="preserve"> Adiant p Comp de Acoes</t>
  </si>
  <si>
    <t xml:space="preserve"> Aquis acoes proprias</t>
  </si>
  <si>
    <t xml:space="preserve"> Controladas/Incorporadas</t>
  </si>
  <si>
    <t xml:space="preserve"> Incorporacoes</t>
  </si>
  <si>
    <t xml:space="preserve"> Particip Minoritarias</t>
  </si>
  <si>
    <t xml:space="preserve"> Outros Recursos Aplic</t>
  </si>
  <si>
    <t>=Aumento Cap de Giro</t>
  </si>
  <si>
    <t>QTD ACOES</t>
  </si>
  <si>
    <t xml:space="preserve"> Total de acoes outstand</t>
  </si>
  <si>
    <t xml:space="preserve"> Data do Balanco</t>
  </si>
  <si>
    <t xml:space="preserve"> Data da Moeda</t>
  </si>
  <si>
    <t xml:space="preserve"> Data de divulgacao (desta apresentacao)</t>
  </si>
  <si>
    <t xml:space="preserve"> Ultimo processamento feito pela Economatica</t>
  </si>
  <si>
    <t xml:space="preserve"> Indice usado para gerar valores de 3 e 12 meses</t>
  </si>
  <si>
    <t>ICBB&lt;BraNa&gt;</t>
  </si>
  <si>
    <t xml:space="preserve"> Formato do balanco</t>
  </si>
  <si>
    <t>Ind&amp;ComBr</t>
  </si>
  <si>
    <t xml:space="preserve"> Consolidado</t>
  </si>
  <si>
    <t>Sim</t>
  </si>
  <si>
    <t xml:space="preserve"> Reclassif (inibe subtrac</t>
  </si>
  <si>
    <t>Não</t>
  </si>
  <si>
    <t>Plataforma e Sonda - Polvo A</t>
  </si>
  <si>
    <t>FPSO Valente - Frade</t>
  </si>
  <si>
    <t>FPSO Bravo - Tubarão Martelo</t>
  </si>
  <si>
    <t>FPSO Forte – Albacora Leste ******</t>
  </si>
  <si>
    <t>Ativos de Óleo e Gás - Frade</t>
  </si>
  <si>
    <t>Ativos de Óleo e Gás - Polvo &amp; TBMT</t>
  </si>
  <si>
    <t>Revitalização de Poços (workover)</t>
  </si>
  <si>
    <t>Máquinas e equipamentos</t>
  </si>
  <si>
    <t>Móveis e utensílios</t>
  </si>
  <si>
    <t>Equipamentos de comunicação</t>
  </si>
  <si>
    <t>Equipamentos de informática</t>
  </si>
  <si>
    <t>Benfeitorias em imóveis de terceiros</t>
  </si>
  <si>
    <t>Em andamento</t>
  </si>
  <si>
    <t>Imobilizado em andamento ***</t>
  </si>
  <si>
    <t>Revitalização de Poços (workover) ****</t>
  </si>
  <si>
    <t>Gastos com Desenvolvimento *******</t>
  </si>
  <si>
    <t>Material para revitalização/reentradas poços – Frade *****</t>
  </si>
  <si>
    <t>Imobilizado líquido</t>
  </si>
  <si>
    <t>Taxa de Depreciação</t>
  </si>
  <si>
    <t>UOP**</t>
  </si>
  <si>
    <t>Produção Total em barril de óleo equivalente</t>
  </si>
  <si>
    <t>Reserva total estimada - implícito na premissa</t>
  </si>
  <si>
    <t>Depreciação estimada - UOP</t>
  </si>
  <si>
    <t>Em operação</t>
  </si>
  <si>
    <t>Linear</t>
  </si>
  <si>
    <t>Depreciação do Período</t>
  </si>
  <si>
    <t>Depreciação linear - premissa</t>
  </si>
  <si>
    <t>CAPEX de produção - relatório de reservas</t>
  </si>
  <si>
    <t>CAPEX de manutenção - 100% da depreciação linear</t>
  </si>
  <si>
    <t>Imobilizado oriundos de explorações e desenvolvimento de produção</t>
  </si>
  <si>
    <t>Outros ativos imobilizados</t>
  </si>
  <si>
    <t>Adições do Período - CAPEX</t>
  </si>
  <si>
    <t>Intangível líquido</t>
  </si>
  <si>
    <t>Ativos de Óleo e Gás - Albacora Leste</t>
  </si>
  <si>
    <t>Ativos de Óleo e Gás - Wahoo</t>
  </si>
  <si>
    <t>Ativos de Óleo e Gás - Itaipu</t>
  </si>
  <si>
    <t>Bônus de assinatura - FZA-M-254</t>
  </si>
  <si>
    <t>Bônus de assinatura - FZA-Z-539</t>
  </si>
  <si>
    <t>Softwares e outros</t>
  </si>
  <si>
    <t>Ágio na aquisição do controle da Forte (anteriormente Dommo Energia S.A.)</t>
  </si>
  <si>
    <t>Vendas Total - BOE</t>
  </si>
  <si>
    <t>Pagamentos de Passivos de Arrendamento - Ajuste pós 2023</t>
  </si>
  <si>
    <t>Passivo Total + Patrimônio Líquido</t>
  </si>
  <si>
    <t>Cronograma de amortizações da dívida atual em dólar</t>
  </si>
  <si>
    <t>Cronograma de amortizações da dívida atual em real</t>
  </si>
  <si>
    <t>Ajuste de conversão</t>
  </si>
  <si>
    <t>Margem EBITDA</t>
  </si>
  <si>
    <t>Em número índice</t>
  </si>
  <si>
    <t>2p</t>
  </si>
  <si>
    <t>Treasury Constant Maturity (Nominal) - 14/03/2024</t>
  </si>
  <si>
    <t>Cronograma de Amortização de Dívidas da Empresa</t>
  </si>
  <si>
    <t>2028+</t>
  </si>
  <si>
    <t>7,6 (valor real)</t>
  </si>
  <si>
    <t>Percentual da receita</t>
  </si>
  <si>
    <t>Preço atual: 15/03/2023</t>
  </si>
  <si>
    <t>Receita Líquida Petróleo</t>
  </si>
  <si>
    <t>Receita Líquida Gás Natural</t>
  </si>
  <si>
    <t>Drivers de Outras Abas</t>
  </si>
  <si>
    <t>Drivers de outras abas</t>
  </si>
  <si>
    <t>Variação no Patrimônio Líquido</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</si>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</sst>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R$&quot;\ * #,##0_-;\-&quot;R$&quot;\ * #,##0_-;_-&quot;R$&quot;\ * &quot;-&quot;_-;_-@_-"/>
    <numFmt numFmtId="41" formatCode="_-* #,##0_-;\-* #,##0_-;_-* &quot;-&quot;_-;_-@_-"/>
    <numFmt numFmtId="44" formatCode="_-&quot;R$&quot;\ * #,##0.00_-;\-&quot;R$&quot;\ * #,##0.00_-;_-&quot;R$&quot;\ * &quot;-&quot;??_-;_-@_-"/>
    <numFmt numFmtId="43" formatCode="_-* #,##0.00_-;\-* #,##0.00_-;_-* &quot;-&quot;??_-;_-@_-"/>
    <numFmt numFmtId="164" formatCode="0.0%"/>
    <numFmt numFmtId="165" formatCode="_(* #,##0.00_);_(* \(#,##0.00\);_(* &quot; - &quot;??_);_(@_)"/>
    <numFmt numFmtId="166" formatCode="#,##0.0"/>
    <numFmt numFmtId="167" formatCode="0.0000"/>
    <numFmt numFmtId="168" formatCode="#,##0.00\x"/>
    <numFmt numFmtId="169" formatCode="#,##0.000"/>
    <numFmt numFmtId="170" formatCode="0.0"/>
    <numFmt numFmtId="171" formatCode="_-* #,##0_-;\-* #,##0_-;_-* &quot;-&quot;??_-;_-@_-"/>
    <numFmt numFmtId="172" formatCode="#,##0.0000"/>
  </numFmts>
  <fonts count="54" x14ac:knownFonts="1">
    <font>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sz val="7"/>
      <color theme="1"/>
      <name val="Calibri"/>
      <family val="2"/>
      <scheme val="minor"/>
    </font>
    <font>
      <sz val="10"/>
      <color theme="1"/>
      <name val="Calibri"/>
      <family val="2"/>
      <scheme val="minor"/>
    </font>
    <font>
      <b/>
      <sz val="10"/>
      <color theme="0"/>
      <name val="Calibri"/>
      <family val="2"/>
      <scheme val="minor"/>
    </font>
    <font>
      <b/>
      <sz val="10"/>
      <color theme="1"/>
      <name val="Calibri"/>
      <family val="2"/>
      <scheme val="minor"/>
    </font>
    <font>
      <b/>
      <sz val="11"/>
      <color rgb="FFFF0000"/>
      <name val="Calibri"/>
      <family val="2"/>
      <scheme val="minor"/>
    </font>
    <font>
      <b/>
      <sz val="10"/>
      <color rgb="FFC00000"/>
      <name val="Calibri"/>
      <family val="2"/>
      <scheme val="minor"/>
    </font>
    <font>
      <sz val="11"/>
      <color theme="1"/>
      <name val="Arial"/>
      <family val="2"/>
    </font>
    <font>
      <b/>
      <sz val="11"/>
      <name val="Arial"/>
      <family val="2"/>
    </font>
    <font>
      <b/>
      <sz val="11"/>
      <color theme="1"/>
      <name val="Calibri"/>
      <family val="2"/>
      <scheme val="minor"/>
    </font>
    <font>
      <sz val="7"/>
      <color theme="1"/>
      <name val="Helvetica"/>
      <family val="2"/>
    </font>
    <font>
      <b/>
      <sz val="11"/>
      <color rgb="FFC00000"/>
      <name val="Calibri"/>
      <family val="2"/>
      <scheme val="minor"/>
    </font>
    <font>
      <sz val="11"/>
      <color rgb="FFC00000"/>
      <name val="Calibri"/>
      <family val="2"/>
      <scheme val="minor"/>
    </font>
    <font>
      <b/>
      <sz val="11"/>
      <color theme="7" tint="-0.499984740745262"/>
      <name val="Calibri"/>
      <family val="2"/>
      <scheme val="minor"/>
    </font>
    <font>
      <sz val="11"/>
      <color theme="7" tint="-0.499984740745262"/>
      <name val="Calibri"/>
      <family val="2"/>
      <scheme val="minor"/>
    </font>
    <font>
      <sz val="8"/>
      <name val="Calibri"/>
      <family val="2"/>
      <scheme val="minor"/>
    </font>
    <font>
      <sz val="8"/>
      <color theme="1"/>
      <name val="Calibri"/>
      <family val="2"/>
      <scheme val="minor"/>
    </font>
    <font>
      <b/>
      <sz val="11"/>
      <color theme="0"/>
      <name val="Calibri"/>
      <family val="2"/>
      <scheme val="minor"/>
    </font>
    <font>
      <sz val="9"/>
      <color indexed="81"/>
      <name val="Segoe UI"/>
      <family val="2"/>
    </font>
    <font>
      <b/>
      <sz val="9"/>
      <color indexed="81"/>
      <name val="Segoe UI"/>
      <family val="2"/>
    </font>
    <font>
      <sz val="11"/>
      <color theme="1"/>
      <name val="Calibri"/>
      <family val="2"/>
    </font>
    <font>
      <b/>
      <sz val="10"/>
      <color rgb="FF333333"/>
      <name val="Times New Roman"/>
      <family val="1"/>
    </font>
    <font>
      <sz val="10"/>
      <color rgb="FF333333"/>
      <name val="Times New Roman"/>
      <family val="1"/>
    </font>
    <font>
      <b/>
      <sz val="10"/>
      <name val="Arial"/>
      <family val="2"/>
    </font>
    <font>
      <b/>
      <i/>
      <sz val="10"/>
      <name val="Verdana"/>
      <family val="2"/>
    </font>
    <font>
      <sz val="8"/>
      <name val="Arial"/>
      <family val="2"/>
    </font>
    <font>
      <sz val="11"/>
      <color rgb="FFE00AA8"/>
      <name val="Calibri"/>
      <family val="2"/>
      <scheme val="minor"/>
    </font>
    <font>
      <b/>
      <sz val="10"/>
      <color rgb="FFE00AA8"/>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1"/>
      <color theme="1"/>
      <name val="Arial"/>
      <family val="2"/>
    </font>
    <font>
      <b/>
      <vertAlign val="superscript"/>
      <sz val="11"/>
      <color theme="1"/>
      <name val="Arial"/>
      <family val="2"/>
    </font>
    <font>
      <sz val="11"/>
      <color rgb="FFFFFFFF"/>
      <name val="Arial"/>
      <family val="2"/>
    </font>
    <font>
      <b/>
      <i/>
      <sz val="10"/>
      <color theme="1"/>
      <name val="Verdana"/>
      <family val="2"/>
    </font>
    <font>
      <sz val="10"/>
      <name val="Verdana"/>
      <family val="2"/>
    </font>
    <font>
      <sz val="9"/>
      <color rgb="FF000000"/>
      <name val="Arial"/>
      <family val="2"/>
    </font>
    <font>
      <sz val="9"/>
      <color theme="1"/>
      <name val="Arial"/>
      <family val="2"/>
    </font>
    <font>
      <sz val="9"/>
      <color rgb="FF333333"/>
      <name val="Arial"/>
      <family val="2"/>
    </font>
    <font>
      <sz val="9"/>
      <color rgb="FF0015AA"/>
      <name val="Arial"/>
      <family val="2"/>
    </font>
    <font>
      <sz val="9"/>
      <color rgb="FF3297D3"/>
      <name val="Arial"/>
      <family val="2"/>
    </font>
  </fonts>
  <fills count="51">
    <fill>
      <patternFill patternType="none"/>
    </fill>
    <fill>
      <patternFill patternType="gray125"/>
    </fill>
    <fill>
      <patternFill patternType="solid">
        <fgColor rgb="FFFFCC99"/>
      </patternFill>
    </fill>
    <fill>
      <patternFill patternType="solid">
        <fgColor rgb="FFF2F2F2"/>
      </patternFill>
    </fill>
    <fill>
      <patternFill patternType="solid">
        <fgColor theme="4" tint="0.79998168889431442"/>
        <bgColor indexed="64"/>
      </patternFill>
    </fill>
    <fill>
      <patternFill patternType="solid">
        <fgColor theme="4" tint="-0.49998474074526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39997558519241921"/>
        <bgColor indexed="65"/>
      </patternFill>
    </fill>
    <fill>
      <patternFill patternType="solid">
        <fgColor theme="9" tint="0.79998168889431442"/>
        <bgColor indexed="64"/>
      </patternFill>
    </fill>
    <fill>
      <patternFill patternType="solid">
        <fgColor theme="9" tint="0.79998168889431442"/>
        <bgColor indexed="65"/>
      </patternFill>
    </fill>
    <fill>
      <patternFill patternType="solid">
        <fgColor theme="0" tint="-4.9989318521683403E-2"/>
        <bgColor indexed="64"/>
      </patternFill>
    </fill>
    <fill>
      <patternFill patternType="solid">
        <fgColor theme="1"/>
        <bgColor indexed="64"/>
      </patternFill>
    </fill>
    <fill>
      <patternFill patternType="solid">
        <fgColor rgb="FFFFFFFF"/>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0.14999847407452621"/>
        <bgColor theme="0" tint="-0.14999847407452621"/>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theme="0" tint="-0.14999847407452621"/>
      </patternFill>
    </fill>
    <fill>
      <patternFill patternType="solid">
        <fgColor rgb="FFEEEEEE"/>
        <bgColor auto="1"/>
      </patternFill>
    </fill>
    <fill>
      <patternFill patternType="solid">
        <fgColor rgb="FFFFFFFF"/>
        <bgColor auto="1"/>
      </patternFill>
    </fill>
    <fill>
      <patternFill patternType="solid">
        <fgColor rgb="FFFEE6F8"/>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17600024414813E-2"/>
      </left>
      <right style="thin">
        <color theme="2" tint="-9.9917600024414813E-2"/>
      </right>
      <top style="thin">
        <color theme="2" tint="-9.9917600024414813E-2"/>
      </top>
      <bottom style="thin">
        <color theme="2" tint="-9.9917600024414813E-2"/>
      </bottom>
      <diagonal/>
    </border>
    <border>
      <left style="thin">
        <color theme="2" tint="-9.9948118533890809E-2"/>
      </left>
      <right style="thin">
        <color theme="2" tint="-9.9948118533890809E-2"/>
      </right>
      <top style="thin">
        <color theme="2" tint="-9.9948118533890809E-2"/>
      </top>
      <bottom/>
      <diagonal/>
    </border>
    <border>
      <left/>
      <right style="thin">
        <color theme="2" tint="-9.9948118533890809E-2"/>
      </right>
      <top style="thin">
        <color theme="2" tint="-9.9948118533890809E-2"/>
      </top>
      <bottom/>
      <diagonal/>
    </border>
    <border>
      <left style="thin">
        <color theme="2" tint="-9.9917600024414813E-2"/>
      </left>
      <right style="thin">
        <color theme="2" tint="-9.9917600024414813E-2"/>
      </right>
      <top style="thin">
        <color theme="2" tint="-9.9917600024414813E-2"/>
      </top>
      <bottom/>
      <diagonal/>
    </border>
    <border>
      <left style="thin">
        <color theme="2" tint="-9.9948118533890809E-2"/>
      </left>
      <right style="thin">
        <color theme="2" tint="-9.9948118533890809E-2"/>
      </right>
      <top style="thin">
        <color theme="2" tint="-9.9948118533890809E-2"/>
      </top>
      <bottom style="thin">
        <color theme="2" tint="-9.9917600024414813E-2"/>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D0D7E5"/>
      </left>
      <right style="thin">
        <color rgb="FFD0D7E5"/>
      </right>
      <top style="thin">
        <color rgb="FFD0D7E5"/>
      </top>
      <bottom style="thin">
        <color rgb="FFD0D7E5"/>
      </bottom>
      <diagonal/>
    </border>
  </borders>
  <cellStyleXfs count="47">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8" borderId="0" applyNumberFormat="0" applyBorder="0" applyAlignment="0" applyProtection="0"/>
    <xf numFmtId="0" fontId="1" fillId="10" borderId="0" applyNumberFormat="0" applyBorder="0" applyAlignment="0" applyProtection="0"/>
    <xf numFmtId="41"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12" applyNumberFormat="0" applyFill="0" applyAlignment="0" applyProtection="0"/>
    <xf numFmtId="0" fontId="36" fillId="0" borderId="13" applyNumberFormat="0" applyFill="0" applyAlignment="0" applyProtection="0"/>
    <xf numFmtId="0" fontId="36" fillId="0" borderId="0" applyNumberFormat="0" applyFill="0" applyBorder="0" applyAlignment="0" applyProtection="0"/>
    <xf numFmtId="0" fontId="37" fillId="20" borderId="0" applyNumberFormat="0" applyBorder="0" applyAlignment="0" applyProtection="0"/>
    <xf numFmtId="0" fontId="38" fillId="21" borderId="0" applyNumberFormat="0" applyBorder="0" applyAlignment="0" applyProtection="0"/>
    <xf numFmtId="0" fontId="39" fillId="22" borderId="0" applyNumberFormat="0" applyBorder="0" applyAlignment="0" applyProtection="0"/>
    <xf numFmtId="0" fontId="2" fillId="2" borderId="1" applyNumberFormat="0" applyAlignment="0" applyProtection="0"/>
    <xf numFmtId="0" fontId="40" fillId="3" borderId="14" applyNumberFormat="0" applyAlignment="0" applyProtection="0"/>
    <xf numFmtId="0" fontId="3" fillId="3" borderId="1" applyNumberFormat="0" applyAlignment="0" applyProtection="0"/>
    <xf numFmtId="0" fontId="4" fillId="0" borderId="15" applyNumberFormat="0" applyFill="0" applyAlignment="0" applyProtection="0"/>
    <xf numFmtId="0" fontId="21" fillId="23" borderId="16" applyNumberFormat="0" applyAlignment="0" applyProtection="0"/>
    <xf numFmtId="0" fontId="41" fillId="0" borderId="0" applyNumberFormat="0" applyFill="0" applyBorder="0" applyAlignment="0" applyProtection="0"/>
    <xf numFmtId="0" fontId="1" fillId="24" borderId="17" applyNumberFormat="0" applyFont="0" applyAlignment="0" applyProtection="0"/>
    <xf numFmtId="0" fontId="42" fillId="0" borderId="0" applyNumberFormat="0" applyFill="0" applyBorder="0" applyAlignment="0" applyProtection="0"/>
    <xf numFmtId="0" fontId="13" fillId="0" borderId="18" applyNumberFormat="0" applyFill="0" applyAlignment="0" applyProtection="0"/>
    <xf numFmtId="0" fontId="4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3"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3"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43"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cellStyleXfs>
  <cellXfs count="281">
    <xf numFmtId="0" fontId="0" fillId="0" borderId="0" xfId="0"/>
    <xf numFmtId="3" fontId="0" fillId="0" borderId="0" xfId="0" applyNumberFormat="1"/>
    <xf numFmtId="0" fontId="6" fillId="0" borderId="0" xfId="0" applyFont="1"/>
    <xf numFmtId="0" fontId="7" fillId="5" borderId="0" xfId="0" applyFont="1" applyFill="1"/>
    <xf numFmtId="0" fontId="8" fillId="0" borderId="0" xfId="0" applyFont="1"/>
    <xf numFmtId="0" fontId="6" fillId="0" borderId="0" xfId="0" applyFont="1" applyAlignment="1">
      <alignment horizontal="left" indent="1"/>
    </xf>
    <xf numFmtId="0" fontId="8" fillId="0" borderId="0" xfId="0" applyFont="1" applyAlignment="1">
      <alignment horizontal="left"/>
    </xf>
    <xf numFmtId="0" fontId="8" fillId="0" borderId="0" xfId="0" applyFont="1" applyAlignment="1">
      <alignment horizontal="left" indent="1"/>
    </xf>
    <xf numFmtId="0" fontId="11" fillId="0" borderId="0" xfId="0" applyFont="1"/>
    <xf numFmtId="37" fontId="12" fillId="0" borderId="0" xfId="0" applyNumberFormat="1" applyFont="1" applyAlignment="1">
      <alignment horizontal="center"/>
    </xf>
    <xf numFmtId="0" fontId="12" fillId="0" borderId="2" xfId="0" quotePrefix="1" applyFont="1" applyBorder="1" applyAlignment="1">
      <alignment horizontal="center"/>
    </xf>
    <xf numFmtId="0" fontId="5" fillId="0" borderId="0" xfId="0" applyFont="1" applyAlignment="1">
      <alignment horizontal="center"/>
    </xf>
    <xf numFmtId="43" fontId="9" fillId="6" borderId="0" xfId="0" applyNumberFormat="1" applyFont="1" applyFill="1" applyAlignment="1">
      <alignment horizontal="center"/>
    </xf>
    <xf numFmtId="164" fontId="11" fillId="0" borderId="0" xfId="0" applyNumberFormat="1" applyFont="1"/>
    <xf numFmtId="0" fontId="0" fillId="0" borderId="0" xfId="0" applyAlignment="1">
      <alignment horizontal="centerContinuous"/>
    </xf>
    <xf numFmtId="0" fontId="0" fillId="0" borderId="2" xfId="0" applyBorder="1" applyAlignment="1">
      <alignment horizontal="centerContinuous"/>
    </xf>
    <xf numFmtId="0" fontId="0" fillId="0" borderId="0" xfId="0" applyAlignment="1">
      <alignment horizontal="center"/>
    </xf>
    <xf numFmtId="37" fontId="0" fillId="0" borderId="0" xfId="0" applyNumberFormat="1"/>
    <xf numFmtId="165" fontId="0" fillId="0" borderId="0" xfId="0" applyNumberFormat="1"/>
    <xf numFmtId="37" fontId="0" fillId="0" borderId="2" xfId="0" applyNumberFormat="1" applyBorder="1"/>
    <xf numFmtId="0" fontId="0" fillId="0" borderId="0" xfId="0" applyAlignment="1">
      <alignment horizontal="right"/>
    </xf>
    <xf numFmtId="0" fontId="6" fillId="0" borderId="0" xfId="0" applyFont="1" applyAlignment="1">
      <alignment horizontal="left" indent="2"/>
    </xf>
    <xf numFmtId="0" fontId="6" fillId="0" borderId="0" xfId="0" applyFont="1" applyAlignment="1">
      <alignment horizontal="left"/>
    </xf>
    <xf numFmtId="3" fontId="8" fillId="0" borderId="0" xfId="0" applyNumberFormat="1" applyFont="1"/>
    <xf numFmtId="3" fontId="6" fillId="0" borderId="0" xfId="0" applyNumberFormat="1" applyFont="1"/>
    <xf numFmtId="0" fontId="1" fillId="0" borderId="0" xfId="0" applyFont="1"/>
    <xf numFmtId="4" fontId="6" fillId="0" borderId="0" xfId="0" applyNumberFormat="1" applyFont="1"/>
    <xf numFmtId="10" fontId="6" fillId="0" borderId="0" xfId="0" applyNumberFormat="1" applyFont="1"/>
    <xf numFmtId="4" fontId="8" fillId="0" borderId="0" xfId="0" applyNumberFormat="1" applyFont="1"/>
    <xf numFmtId="164" fontId="6" fillId="0" borderId="0" xfId="0" applyNumberFormat="1" applyFont="1"/>
    <xf numFmtId="3" fontId="14" fillId="0" borderId="0" xfId="0" applyNumberFormat="1" applyFont="1" applyAlignment="1">
      <alignment horizontal="right"/>
    </xf>
    <xf numFmtId="164" fontId="10" fillId="6" borderId="0" xfId="0" applyNumberFormat="1" applyFont="1" applyFill="1"/>
    <xf numFmtId="9" fontId="1" fillId="0" borderId="0" xfId="0" applyNumberFormat="1" applyFont="1"/>
    <xf numFmtId="10" fontId="1" fillId="0" borderId="0" xfId="0" applyNumberFormat="1" applyFont="1"/>
    <xf numFmtId="0" fontId="13" fillId="0" borderId="0" xfId="0" applyFont="1"/>
    <xf numFmtId="49" fontId="0" fillId="0" borderId="0" xfId="0" applyNumberFormat="1"/>
    <xf numFmtId="2" fontId="0" fillId="0" borderId="0" xfId="0" applyNumberFormat="1"/>
    <xf numFmtId="3" fontId="0" fillId="7" borderId="0" xfId="0" applyNumberFormat="1" applyFill="1"/>
    <xf numFmtId="3" fontId="13" fillId="0" borderId="0" xfId="0" applyNumberFormat="1" applyFont="1"/>
    <xf numFmtId="3" fontId="0" fillId="4" borderId="0" xfId="0" applyNumberFormat="1" applyFill="1"/>
    <xf numFmtId="3" fontId="13" fillId="4" borderId="0" xfId="0" applyNumberFormat="1" applyFont="1" applyFill="1"/>
    <xf numFmtId="0" fontId="13" fillId="9" borderId="0" xfId="0" applyFont="1" applyFill="1"/>
    <xf numFmtId="3" fontId="0" fillId="0" borderId="0" xfId="0" applyNumberFormat="1" applyAlignment="1">
      <alignment horizontal="left" indent="1"/>
    </xf>
    <xf numFmtId="0" fontId="0" fillId="0" borderId="0" xfId="0" applyAlignment="1">
      <alignment horizontal="left" indent="1"/>
    </xf>
    <xf numFmtId="0" fontId="0" fillId="0" borderId="0" xfId="0" applyAlignment="1">
      <alignment horizontal="left" indent="2"/>
    </xf>
    <xf numFmtId="0" fontId="0" fillId="9" borderId="0" xfId="0" applyFill="1"/>
    <xf numFmtId="166" fontId="0" fillId="0" borderId="0" xfId="0" applyNumberFormat="1"/>
    <xf numFmtId="3" fontId="0" fillId="0" borderId="0" xfId="0" applyNumberFormat="1" applyAlignment="1">
      <alignment horizontal="left" indent="2"/>
    </xf>
    <xf numFmtId="3" fontId="17" fillId="11" borderId="4" xfId="0" applyNumberFormat="1" applyFont="1" applyFill="1" applyBorder="1" applyAlignment="1">
      <alignment horizontal="right"/>
    </xf>
    <xf numFmtId="3" fontId="16" fillId="9" borderId="5" xfId="0" applyNumberFormat="1" applyFont="1" applyFill="1" applyBorder="1" applyAlignment="1">
      <alignment horizontal="right"/>
    </xf>
    <xf numFmtId="3" fontId="16" fillId="9" borderId="3" xfId="0" applyNumberFormat="1" applyFont="1" applyFill="1" applyBorder="1" applyAlignment="1">
      <alignment horizontal="right"/>
    </xf>
    <xf numFmtId="3" fontId="18" fillId="11" borderId="4" xfId="0" applyNumberFormat="1" applyFont="1" applyFill="1" applyBorder="1" applyAlignment="1">
      <alignment horizontal="right"/>
    </xf>
    <xf numFmtId="3" fontId="18" fillId="11" borderId="7" xfId="0" applyNumberFormat="1" applyFont="1" applyFill="1" applyBorder="1" applyAlignment="1">
      <alignment horizontal="right"/>
    </xf>
    <xf numFmtId="3" fontId="18" fillId="12" borderId="0" xfId="0" applyNumberFormat="1" applyFont="1" applyFill="1" applyAlignment="1">
      <alignment horizontal="right"/>
    </xf>
    <xf numFmtId="3" fontId="16" fillId="9" borderId="6" xfId="0" applyNumberFormat="1" applyFont="1" applyFill="1" applyBorder="1" applyAlignment="1">
      <alignment horizontal="right"/>
    </xf>
    <xf numFmtId="3" fontId="16" fillId="9" borderId="8"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166" fontId="16" fillId="9" borderId="8" xfId="0" applyNumberFormat="1" applyFont="1" applyFill="1" applyBorder="1" applyAlignment="1">
      <alignment horizontal="right"/>
    </xf>
    <xf numFmtId="166" fontId="17" fillId="11" borderId="4" xfId="0" applyNumberFormat="1" applyFont="1" applyFill="1" applyBorder="1" applyAlignment="1">
      <alignment horizontal="right"/>
    </xf>
    <xf numFmtId="4" fontId="16" fillId="9" borderId="8" xfId="0" applyNumberFormat="1" applyFont="1" applyFill="1" applyBorder="1" applyAlignment="1">
      <alignment horizontal="right"/>
    </xf>
    <xf numFmtId="4" fontId="17" fillId="11" borderId="4" xfId="0" applyNumberFormat="1" applyFont="1" applyFill="1" applyBorder="1" applyAlignment="1">
      <alignment horizontal="right"/>
    </xf>
    <xf numFmtId="164" fontId="0" fillId="0" borderId="0" xfId="0" applyNumberFormat="1" applyAlignment="1">
      <alignment horizontal="right"/>
    </xf>
    <xf numFmtId="3" fontId="17" fillId="12" borderId="0" xfId="0" applyNumberFormat="1" applyFont="1" applyFill="1" applyAlignment="1">
      <alignment horizontal="right"/>
    </xf>
    <xf numFmtId="3" fontId="13" fillId="0" borderId="0" xfId="0" applyNumberFormat="1" applyFont="1" applyAlignment="1">
      <alignment horizontal="left" indent="1"/>
    </xf>
    <xf numFmtId="49" fontId="0" fillId="0" borderId="0" xfId="0" applyNumberFormat="1" applyAlignment="1">
      <alignment horizontal="left" indent="2"/>
    </xf>
    <xf numFmtId="3" fontId="15" fillId="9" borderId="5" xfId="0" applyNumberFormat="1" applyFont="1" applyFill="1" applyBorder="1" applyAlignment="1">
      <alignment horizontal="right"/>
    </xf>
    <xf numFmtId="0" fontId="13" fillId="0" borderId="0" xfId="0" applyFont="1" applyAlignment="1">
      <alignment horizontal="left"/>
    </xf>
    <xf numFmtId="14" fontId="0" fillId="0" borderId="0" xfId="0" applyNumberFormat="1"/>
    <xf numFmtId="164" fontId="17" fillId="11" borderId="4" xfId="0" applyNumberFormat="1" applyFont="1" applyFill="1" applyBorder="1" applyAlignment="1">
      <alignment horizontal="right"/>
    </xf>
    <xf numFmtId="4" fontId="18" fillId="11" borderId="4" xfId="0" applyNumberFormat="1" applyFont="1" applyFill="1" applyBorder="1" applyAlignment="1">
      <alignment horizontal="right"/>
    </xf>
    <xf numFmtId="166" fontId="18" fillId="11" borderId="4" xfId="0" applyNumberFormat="1" applyFont="1" applyFill="1" applyBorder="1" applyAlignment="1">
      <alignment horizontal="right"/>
    </xf>
    <xf numFmtId="0" fontId="6" fillId="12" borderId="0" xfId="0" applyFont="1" applyFill="1" applyAlignment="1">
      <alignment horizontal="left" indent="1"/>
    </xf>
    <xf numFmtId="3" fontId="15" fillId="9" borderId="8" xfId="0" applyNumberFormat="1" applyFont="1" applyFill="1" applyBorder="1" applyAlignment="1">
      <alignment horizontal="right"/>
    </xf>
    <xf numFmtId="164" fontId="18" fillId="11" borderId="4" xfId="0" applyNumberFormat="1" applyFont="1" applyFill="1" applyBorder="1" applyAlignment="1">
      <alignment horizontal="right"/>
    </xf>
    <xf numFmtId="2" fontId="16" fillId="9" borderId="8" xfId="0" applyNumberFormat="1" applyFont="1" applyFill="1" applyBorder="1" applyAlignment="1">
      <alignment horizontal="right"/>
    </xf>
    <xf numFmtId="164" fontId="0" fillId="0" borderId="0" xfId="0" applyNumberFormat="1"/>
    <xf numFmtId="0" fontId="16" fillId="0" borderId="0" xfId="0" applyFont="1"/>
    <xf numFmtId="1" fontId="16" fillId="9" borderId="8" xfId="0" applyNumberFormat="1" applyFont="1" applyFill="1" applyBorder="1" applyAlignment="1">
      <alignment horizontal="right"/>
    </xf>
    <xf numFmtId="164" fontId="16" fillId="9" borderId="8" xfId="0" applyNumberFormat="1" applyFont="1" applyFill="1" applyBorder="1" applyAlignment="1">
      <alignment horizontal="right"/>
    </xf>
    <xf numFmtId="4" fontId="16" fillId="11" borderId="4" xfId="0" applyNumberFormat="1" applyFont="1" applyFill="1" applyBorder="1" applyAlignment="1">
      <alignment horizontal="right"/>
    </xf>
    <xf numFmtId="0" fontId="0" fillId="0" borderId="0" xfId="0" applyAlignment="1">
      <alignment vertical="center"/>
    </xf>
    <xf numFmtId="0" fontId="0" fillId="0" borderId="0" xfId="0" applyAlignment="1">
      <alignment horizontal="left"/>
    </xf>
    <xf numFmtId="0" fontId="0" fillId="0" borderId="9" xfId="0" applyBorder="1"/>
    <xf numFmtId="0" fontId="0" fillId="0" borderId="9" xfId="0" applyBorder="1" applyAlignment="1">
      <alignment horizontal="center"/>
    </xf>
    <xf numFmtId="2" fontId="0" fillId="0" borderId="9" xfId="0" applyNumberFormat="1" applyBorder="1" applyAlignment="1">
      <alignment horizontal="center"/>
    </xf>
    <xf numFmtId="10" fontId="0" fillId="0" borderId="9" xfId="0" applyNumberFormat="1" applyBorder="1" applyAlignment="1">
      <alignment horizontal="center"/>
    </xf>
    <xf numFmtId="167" fontId="0" fillId="0" borderId="9" xfId="0" applyNumberFormat="1" applyBorder="1" applyAlignment="1">
      <alignment horizontal="center"/>
    </xf>
    <xf numFmtId="164" fontId="15" fillId="9" borderId="5" xfId="0" applyNumberFormat="1" applyFont="1" applyFill="1" applyBorder="1" applyAlignment="1">
      <alignment horizontal="right"/>
    </xf>
    <xf numFmtId="3" fontId="20" fillId="0" borderId="0" xfId="0" applyNumberFormat="1" applyFont="1"/>
    <xf numFmtId="3" fontId="1" fillId="0" borderId="0" xfId="0" applyNumberFormat="1" applyFont="1"/>
    <xf numFmtId="3" fontId="17" fillId="11" borderId="0" xfId="0" applyNumberFormat="1" applyFont="1" applyFill="1" applyAlignment="1">
      <alignment horizontal="right"/>
    </xf>
    <xf numFmtId="168" fontId="18" fillId="11" borderId="4" xfId="0" applyNumberFormat="1" applyFont="1" applyFill="1" applyBorder="1" applyAlignment="1">
      <alignment horizontal="right"/>
    </xf>
    <xf numFmtId="164" fontId="16" fillId="9" borderId="5" xfId="0" applyNumberFormat="1" applyFont="1" applyFill="1" applyBorder="1" applyAlignment="1">
      <alignment horizontal="right"/>
    </xf>
    <xf numFmtId="164" fontId="17" fillId="11" borderId="7" xfId="0" applyNumberFormat="1" applyFont="1" applyFill="1" applyBorder="1" applyAlignment="1">
      <alignment horizontal="right"/>
    </xf>
    <xf numFmtId="2" fontId="17" fillId="11" borderId="4" xfId="0" applyNumberFormat="1" applyFont="1" applyFill="1" applyBorder="1" applyAlignment="1">
      <alignment horizontal="right"/>
    </xf>
    <xf numFmtId="169" fontId="0" fillId="0" borderId="0" xfId="0" applyNumberFormat="1"/>
    <xf numFmtId="1" fontId="6" fillId="0" borderId="0" xfId="0" applyNumberFormat="1" applyFont="1"/>
    <xf numFmtId="2" fontId="18" fillId="11" borderId="4" xfId="0" applyNumberFormat="1" applyFont="1" applyFill="1" applyBorder="1" applyAlignment="1">
      <alignment horizontal="right"/>
    </xf>
    <xf numFmtId="3" fontId="18" fillId="11" borderId="0" xfId="0" applyNumberFormat="1" applyFont="1" applyFill="1" applyAlignment="1">
      <alignment horizontal="right"/>
    </xf>
    <xf numFmtId="4" fontId="0" fillId="0" borderId="0" xfId="0" applyNumberFormat="1"/>
    <xf numFmtId="170" fontId="18" fillId="11" borderId="4" xfId="0" applyNumberFormat="1" applyFont="1" applyFill="1" applyBorder="1" applyAlignment="1">
      <alignment horizontal="right"/>
    </xf>
    <xf numFmtId="0" fontId="25" fillId="14" borderId="10" xfId="0" applyFont="1" applyFill="1" applyBorder="1" applyAlignment="1">
      <alignment horizontal="center" vertical="center" wrapText="1"/>
    </xf>
    <xf numFmtId="3" fontId="26" fillId="15" borderId="10" xfId="0" applyNumberFormat="1" applyFont="1" applyFill="1" applyBorder="1" applyAlignment="1">
      <alignment vertical="top" wrapText="1"/>
    </xf>
    <xf numFmtId="3" fontId="26" fillId="15" borderId="10" xfId="0" applyNumberFormat="1" applyFont="1" applyFill="1" applyBorder="1" applyAlignment="1">
      <alignment horizontal="center" vertical="top" wrapText="1"/>
    </xf>
    <xf numFmtId="3" fontId="26" fillId="13" borderId="10" xfId="0" applyNumberFormat="1" applyFont="1" applyFill="1" applyBorder="1" applyAlignment="1">
      <alignment vertical="top" wrapText="1"/>
    </xf>
    <xf numFmtId="3" fontId="26" fillId="13" borderId="10" xfId="0" applyNumberFormat="1" applyFont="1" applyFill="1" applyBorder="1" applyAlignment="1">
      <alignment horizontal="center" vertical="top" wrapText="1"/>
    </xf>
    <xf numFmtId="3" fontId="25" fillId="15" borderId="10" xfId="0" applyNumberFormat="1" applyFont="1" applyFill="1" applyBorder="1" applyAlignment="1">
      <alignment vertical="top" wrapText="1"/>
    </xf>
    <xf numFmtId="3" fontId="25" fillId="15" borderId="10" xfId="0" applyNumberFormat="1" applyFont="1" applyFill="1" applyBorder="1" applyAlignment="1">
      <alignment horizontal="center" vertical="top" wrapText="1"/>
    </xf>
    <xf numFmtId="3" fontId="25" fillId="13" borderId="10" xfId="0" applyNumberFormat="1" applyFont="1" applyFill="1" applyBorder="1" applyAlignment="1">
      <alignment vertical="top" wrapText="1"/>
    </xf>
    <xf numFmtId="3" fontId="25" fillId="13" borderId="10" xfId="0" applyNumberFormat="1" applyFont="1" applyFill="1" applyBorder="1" applyAlignment="1">
      <alignment horizontal="center" vertical="top" wrapText="1"/>
    </xf>
    <xf numFmtId="3" fontId="26" fillId="15" borderId="10" xfId="0" applyNumberFormat="1" applyFont="1" applyFill="1" applyBorder="1" applyAlignment="1">
      <alignment horizontal="left" vertical="top" wrapText="1" indent="1"/>
    </xf>
    <xf numFmtId="3" fontId="26" fillId="13" borderId="10" xfId="0" applyNumberFormat="1" applyFont="1" applyFill="1" applyBorder="1" applyAlignment="1">
      <alignment horizontal="left" vertical="top" wrapText="1" indent="1"/>
    </xf>
    <xf numFmtId="0" fontId="25" fillId="14" borderId="10" xfId="0" applyFont="1" applyFill="1" applyBorder="1" applyAlignment="1">
      <alignment vertical="center" wrapText="1"/>
    </xf>
    <xf numFmtId="3" fontId="0" fillId="0" borderId="0" xfId="0" applyNumberFormat="1" applyAlignment="1">
      <alignment horizontal="center"/>
    </xf>
    <xf numFmtId="0" fontId="13" fillId="0" borderId="0" xfId="0" applyFont="1" applyAlignment="1">
      <alignment horizontal="center"/>
    </xf>
    <xf numFmtId="164" fontId="26" fillId="13" borderId="10" xfId="0" applyNumberFormat="1" applyFont="1" applyFill="1" applyBorder="1" applyAlignment="1">
      <alignment horizontal="center" vertical="top" wrapText="1"/>
    </xf>
    <xf numFmtId="0" fontId="8" fillId="12" borderId="0" xfId="0" applyFont="1" applyFill="1"/>
    <xf numFmtId="3" fontId="18" fillId="12" borderId="4" xfId="0" applyNumberFormat="1" applyFont="1" applyFill="1" applyBorder="1" applyAlignment="1">
      <alignment horizontal="right"/>
    </xf>
    <xf numFmtId="164" fontId="26" fillId="15" borderId="10" xfId="0" applyNumberFormat="1" applyFont="1" applyFill="1" applyBorder="1" applyAlignment="1">
      <alignment horizontal="center" vertical="top" wrapText="1"/>
    </xf>
    <xf numFmtId="0" fontId="0" fillId="12" borderId="0" xfId="0" applyFill="1"/>
    <xf numFmtId="0" fontId="26" fillId="15" borderId="10" xfId="0" applyFont="1" applyFill="1" applyBorder="1" applyAlignment="1">
      <alignment vertical="top" wrapText="1"/>
    </xf>
    <xf numFmtId="0" fontId="26" fillId="15" borderId="10" xfId="0" applyFont="1" applyFill="1" applyBorder="1" applyAlignment="1">
      <alignment horizontal="center" vertical="top" wrapText="1"/>
    </xf>
    <xf numFmtId="0" fontId="26" fillId="13" borderId="10" xfId="0" applyFont="1" applyFill="1" applyBorder="1" applyAlignment="1">
      <alignment horizontal="center" vertical="top" wrapText="1"/>
    </xf>
    <xf numFmtId="0" fontId="26" fillId="13" borderId="10" xfId="0" applyFont="1" applyFill="1" applyBorder="1" applyAlignment="1">
      <alignment vertical="top" wrapText="1"/>
    </xf>
    <xf numFmtId="0" fontId="26" fillId="15" borderId="10" xfId="0" applyFont="1" applyFill="1" applyBorder="1" applyAlignment="1">
      <alignment vertical="top"/>
    </xf>
    <xf numFmtId="0" fontId="0" fillId="16" borderId="9" xfId="0" applyFill="1" applyBorder="1"/>
    <xf numFmtId="0" fontId="0" fillId="16" borderId="9" xfId="0" applyFill="1" applyBorder="1" applyAlignment="1">
      <alignment horizontal="center"/>
    </xf>
    <xf numFmtId="2" fontId="0" fillId="16" borderId="9" xfId="0" applyNumberFormat="1" applyFill="1" applyBorder="1" applyAlignment="1">
      <alignment horizontal="center"/>
    </xf>
    <xf numFmtId="10" fontId="0" fillId="16" borderId="9" xfId="0" applyNumberFormat="1" applyFill="1" applyBorder="1" applyAlignment="1">
      <alignment horizontal="center"/>
    </xf>
    <xf numFmtId="167" fontId="0" fillId="16" borderId="9" xfId="0" applyNumberFormat="1" applyFill="1" applyBorder="1" applyAlignment="1">
      <alignment horizontal="center"/>
    </xf>
    <xf numFmtId="164" fontId="10" fillId="6" borderId="0" xfId="0" applyNumberFormat="1" applyFont="1" applyFill="1" applyAlignment="1">
      <alignment horizontal="center"/>
    </xf>
    <xf numFmtId="0" fontId="10" fillId="6" borderId="0" xfId="0" applyFont="1" applyFill="1" applyAlignment="1">
      <alignment horizontal="center"/>
    </xf>
    <xf numFmtId="3" fontId="26" fillId="12" borderId="10" xfId="0" applyNumberFormat="1" applyFont="1" applyFill="1" applyBorder="1" applyAlignment="1">
      <alignment horizontal="center" vertical="top" wrapText="1"/>
    </xf>
    <xf numFmtId="166" fontId="26" fillId="15" borderId="10" xfId="0" applyNumberFormat="1" applyFont="1" applyFill="1" applyBorder="1" applyAlignment="1">
      <alignment vertical="top" wrapText="1"/>
    </xf>
    <xf numFmtId="166" fontId="26" fillId="15" borderId="10" xfId="0" applyNumberFormat="1" applyFont="1" applyFill="1" applyBorder="1" applyAlignment="1">
      <alignment horizontal="center" vertical="top" wrapText="1"/>
    </xf>
    <xf numFmtId="0" fontId="25" fillId="14" borderId="10" xfId="0" applyFont="1" applyFill="1" applyBorder="1" applyAlignment="1">
      <alignment horizontal="center" vertical="center"/>
    </xf>
    <xf numFmtId="0" fontId="26" fillId="15" borderId="10" xfId="0" applyFont="1" applyFill="1" applyBorder="1" applyAlignment="1">
      <alignment horizontal="left" vertical="center"/>
    </xf>
    <xf numFmtId="164" fontId="26" fillId="15" borderId="10" xfId="0" applyNumberFormat="1" applyFont="1" applyFill="1" applyBorder="1" applyAlignment="1">
      <alignment horizontal="center" vertical="center" wrapText="1"/>
    </xf>
    <xf numFmtId="164" fontId="26" fillId="13" borderId="10" xfId="0" applyNumberFormat="1" applyFont="1" applyFill="1" applyBorder="1" applyAlignment="1">
      <alignment horizontal="center" vertical="center" wrapText="1"/>
    </xf>
    <xf numFmtId="2" fontId="26" fillId="15" borderId="10" xfId="0" applyNumberFormat="1" applyFont="1" applyFill="1" applyBorder="1" applyAlignment="1">
      <alignment horizontal="center" vertical="center"/>
    </xf>
    <xf numFmtId="2" fontId="26" fillId="15" borderId="10" xfId="0" applyNumberFormat="1" applyFont="1" applyFill="1" applyBorder="1" applyAlignment="1">
      <alignment horizontal="center" vertical="center" wrapText="1"/>
    </xf>
    <xf numFmtId="166" fontId="26" fillId="15" borderId="10" xfId="0" applyNumberFormat="1" applyFont="1" applyFill="1" applyBorder="1" applyAlignment="1">
      <alignment horizontal="center" vertical="top"/>
    </xf>
    <xf numFmtId="3" fontId="26" fillId="15" borderId="10" xfId="0" applyNumberFormat="1" applyFont="1" applyFill="1" applyBorder="1" applyAlignment="1">
      <alignment vertical="top"/>
    </xf>
    <xf numFmtId="3" fontId="25" fillId="15" borderId="10" xfId="0" applyNumberFormat="1" applyFont="1" applyFill="1" applyBorder="1" applyAlignment="1">
      <alignment vertical="top"/>
    </xf>
    <xf numFmtId="3" fontId="26" fillId="13" borderId="10" xfId="0" applyNumberFormat="1" applyFont="1" applyFill="1" applyBorder="1" applyAlignment="1">
      <alignment vertical="top"/>
    </xf>
    <xf numFmtId="0" fontId="25" fillId="14" borderId="10" xfId="0" applyFont="1" applyFill="1" applyBorder="1" applyAlignment="1">
      <alignment vertical="center"/>
    </xf>
    <xf numFmtId="3" fontId="26" fillId="15" borderId="10" xfId="0" applyNumberFormat="1" applyFont="1" applyFill="1" applyBorder="1" applyAlignment="1">
      <alignment horizontal="center" vertical="top"/>
    </xf>
    <xf numFmtId="164" fontId="26" fillId="15" borderId="10" xfId="0" applyNumberFormat="1" applyFont="1" applyFill="1" applyBorder="1" applyAlignment="1">
      <alignment horizontal="center" vertical="top"/>
    </xf>
    <xf numFmtId="0" fontId="26" fillId="13" borderId="10" xfId="0" applyFont="1" applyFill="1" applyBorder="1" applyAlignment="1">
      <alignment vertical="top"/>
    </xf>
    <xf numFmtId="3" fontId="26" fillId="13" borderId="10" xfId="0" applyNumberFormat="1" applyFont="1" applyFill="1" applyBorder="1" applyAlignment="1">
      <alignment horizontal="center" vertical="top"/>
    </xf>
    <xf numFmtId="164" fontId="26" fillId="13" borderId="10" xfId="0" applyNumberFormat="1" applyFont="1" applyFill="1" applyBorder="1" applyAlignment="1">
      <alignment horizontal="center" vertical="top"/>
    </xf>
    <xf numFmtId="3" fontId="26" fillId="15" borderId="10" xfId="0" applyNumberFormat="1" applyFont="1" applyFill="1" applyBorder="1" applyAlignment="1">
      <alignment vertical="center" wrapText="1"/>
    </xf>
    <xf numFmtId="3" fontId="26" fillId="15" borderId="10" xfId="0" applyNumberFormat="1" applyFont="1" applyFill="1" applyBorder="1" applyAlignment="1">
      <alignment horizontal="center" vertical="center" wrapText="1"/>
    </xf>
    <xf numFmtId="3" fontId="26" fillId="13" borderId="10" xfId="0" applyNumberFormat="1" applyFont="1" applyFill="1" applyBorder="1" applyAlignment="1">
      <alignment horizontal="left" vertical="center" wrapText="1"/>
    </xf>
    <xf numFmtId="3" fontId="26" fillId="13" borderId="10" xfId="0" applyNumberFormat="1" applyFont="1" applyFill="1" applyBorder="1" applyAlignment="1">
      <alignment horizontal="center" vertical="center" wrapText="1"/>
    </xf>
    <xf numFmtId="167" fontId="25" fillId="14" borderId="10" xfId="0" applyNumberFormat="1" applyFont="1" applyFill="1" applyBorder="1" applyAlignment="1">
      <alignment horizontal="center" vertical="center" wrapText="1"/>
    </xf>
    <xf numFmtId="164" fontId="25" fillId="15" borderId="10" xfId="0" applyNumberFormat="1" applyFont="1" applyFill="1" applyBorder="1" applyAlignment="1">
      <alignment horizontal="center" vertical="center" wrapText="1"/>
    </xf>
    <xf numFmtId="167" fontId="25" fillId="14" borderId="10" xfId="0" applyNumberFormat="1" applyFont="1" applyFill="1" applyBorder="1" applyAlignment="1">
      <alignment horizontal="center" wrapText="1"/>
    </xf>
    <xf numFmtId="0" fontId="25" fillId="14" borderId="10" xfId="0" applyFont="1" applyFill="1" applyBorder="1" applyAlignment="1">
      <alignment horizontal="center" wrapText="1"/>
    </xf>
    <xf numFmtId="164" fontId="25" fillId="13" borderId="10" xfId="0" applyNumberFormat="1" applyFont="1" applyFill="1" applyBorder="1" applyAlignment="1">
      <alignment horizontal="center" wrapText="1"/>
    </xf>
    <xf numFmtId="2" fontId="26" fillId="13" borderId="10" xfId="0" applyNumberFormat="1" applyFont="1" applyFill="1" applyBorder="1" applyAlignment="1">
      <alignment horizontal="center" wrapText="1"/>
    </xf>
    <xf numFmtId="2" fontId="25" fillId="13" borderId="10" xfId="0" applyNumberFormat="1" applyFont="1" applyFill="1" applyBorder="1" applyAlignment="1">
      <alignment horizontal="center" wrapText="1"/>
    </xf>
    <xf numFmtId="164" fontId="25" fillId="15" borderId="10" xfId="0" applyNumberFormat="1" applyFont="1" applyFill="1" applyBorder="1" applyAlignment="1">
      <alignment horizontal="center" wrapText="1"/>
    </xf>
    <xf numFmtId="2" fontId="26" fillId="15" borderId="10" xfId="0" applyNumberFormat="1" applyFont="1" applyFill="1" applyBorder="1" applyAlignment="1">
      <alignment horizontal="center" wrapText="1"/>
    </xf>
    <xf numFmtId="2" fontId="25" fillId="15" borderId="10" xfId="0" applyNumberFormat="1" applyFont="1" applyFill="1" applyBorder="1" applyAlignment="1">
      <alignment horizontal="center" wrapText="1"/>
    </xf>
    <xf numFmtId="164" fontId="25" fillId="13" borderId="10" xfId="0" applyNumberFormat="1" applyFont="1" applyFill="1" applyBorder="1" applyAlignment="1">
      <alignment horizontal="center" vertical="center" wrapText="1"/>
    </xf>
    <xf numFmtId="2" fontId="26" fillId="13" borderId="10" xfId="0" applyNumberFormat="1" applyFont="1" applyFill="1" applyBorder="1" applyAlignment="1">
      <alignment horizontal="center" vertical="center" wrapText="1"/>
    </xf>
    <xf numFmtId="2" fontId="25" fillId="13" borderId="10" xfId="0" applyNumberFormat="1" applyFont="1" applyFill="1" applyBorder="1" applyAlignment="1">
      <alignment horizontal="center" vertical="center" wrapText="1"/>
    </xf>
    <xf numFmtId="2" fontId="25" fillId="15" borderId="10" xfId="0" applyNumberFormat="1" applyFont="1" applyFill="1" applyBorder="1" applyAlignment="1">
      <alignment horizontal="center" vertical="center" wrapText="1"/>
    </xf>
    <xf numFmtId="14" fontId="0" fillId="16" borderId="9" xfId="0" applyNumberFormat="1" applyFill="1" applyBorder="1"/>
    <xf numFmtId="14" fontId="0" fillId="0" borderId="9" xfId="0" applyNumberFormat="1" applyBorder="1"/>
    <xf numFmtId="164" fontId="0" fillId="16" borderId="9" xfId="0" applyNumberFormat="1" applyFill="1" applyBorder="1"/>
    <xf numFmtId="164" fontId="0" fillId="0" borderId="9" xfId="0" applyNumberFormat="1" applyBorder="1"/>
    <xf numFmtId="2" fontId="0" fillId="16" borderId="9" xfId="0" applyNumberFormat="1" applyFill="1" applyBorder="1"/>
    <xf numFmtId="2" fontId="0" fillId="0" borderId="9" xfId="0" applyNumberFormat="1" applyBorder="1"/>
    <xf numFmtId="3" fontId="0" fillId="16" borderId="9" xfId="0" applyNumberFormat="1" applyFill="1" applyBorder="1" applyAlignment="1">
      <alignment horizontal="center"/>
    </xf>
    <xf numFmtId="3" fontId="0" fillId="0" borderId="9" xfId="0" applyNumberFormat="1" applyBorder="1" applyAlignment="1">
      <alignment horizontal="center"/>
    </xf>
    <xf numFmtId="1" fontId="0" fillId="16" borderId="9" xfId="0" applyNumberFormat="1" applyFill="1" applyBorder="1" applyAlignment="1">
      <alignment horizontal="center"/>
    </xf>
    <xf numFmtId="1" fontId="0" fillId="0" borderId="9" xfId="0" applyNumberFormat="1" applyBorder="1" applyAlignment="1">
      <alignment horizontal="center"/>
    </xf>
    <xf numFmtId="164" fontId="0" fillId="16" borderId="9" xfId="0" applyNumberFormat="1" applyFill="1" applyBorder="1" applyAlignment="1">
      <alignment horizontal="center"/>
    </xf>
    <xf numFmtId="164" fontId="0" fillId="0" borderId="9" xfId="0" applyNumberFormat="1" applyBorder="1" applyAlignment="1">
      <alignment horizontal="center"/>
    </xf>
    <xf numFmtId="164" fontId="24" fillId="0" borderId="0" xfId="0" applyNumberFormat="1" applyFont="1"/>
    <xf numFmtId="1" fontId="0" fillId="16" borderId="9" xfId="0" applyNumberFormat="1" applyFill="1" applyBorder="1"/>
    <xf numFmtId="1" fontId="0" fillId="0" borderId="9" xfId="0" applyNumberFormat="1" applyBorder="1"/>
    <xf numFmtId="0" fontId="20" fillId="16" borderId="9" xfId="0" applyFont="1" applyFill="1" applyBorder="1" applyAlignment="1">
      <alignment horizontal="center"/>
    </xf>
    <xf numFmtId="0" fontId="20" fillId="0" borderId="9" xfId="0" applyFont="1" applyBorder="1" applyAlignment="1">
      <alignment horizontal="center"/>
    </xf>
    <xf numFmtId="0" fontId="29" fillId="0" borderId="0" xfId="0" applyFont="1" applyAlignment="1">
      <alignment horizont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left" vertical="center"/>
    </xf>
    <xf numFmtId="0" fontId="28" fillId="0" borderId="9" xfId="0" applyFont="1" applyBorder="1" applyAlignment="1">
      <alignment horizontal="center" vertical="center" wrapText="1"/>
    </xf>
    <xf numFmtId="14" fontId="28" fillId="0" borderId="9" xfId="0" applyNumberFormat="1" applyFont="1" applyBorder="1" applyAlignment="1">
      <alignment horizontal="center" vertical="center" wrapText="1"/>
    </xf>
    <xf numFmtId="0" fontId="27" fillId="0" borderId="0" xfId="0" applyFont="1" applyAlignment="1">
      <alignment horizontal="center" vertical="center" wrapText="1"/>
    </xf>
    <xf numFmtId="2" fontId="28" fillId="0" borderId="9" xfId="0" applyNumberFormat="1" applyFont="1" applyBorder="1" applyAlignment="1">
      <alignment horizontal="center" vertical="center" wrapText="1"/>
    </xf>
    <xf numFmtId="10" fontId="28" fillId="0" borderId="9" xfId="0" applyNumberFormat="1" applyFont="1" applyBorder="1" applyAlignment="1">
      <alignment horizontal="center" vertical="center" wrapText="1"/>
    </xf>
    <xf numFmtId="164" fontId="28" fillId="0" borderId="9" xfId="0" applyNumberFormat="1" applyFont="1" applyBorder="1" applyAlignment="1">
      <alignment horizontal="center" vertical="center" wrapText="1"/>
    </xf>
    <xf numFmtId="164" fontId="20" fillId="0" borderId="9" xfId="0" applyNumberFormat="1" applyFont="1" applyBorder="1" applyAlignment="1">
      <alignment horizontal="center"/>
    </xf>
    <xf numFmtId="0" fontId="10" fillId="12" borderId="0" xfId="0" applyFont="1" applyFill="1"/>
    <xf numFmtId="3" fontId="30" fillId="11" borderId="4" xfId="0" applyNumberFormat="1" applyFont="1" applyFill="1" applyBorder="1" applyAlignment="1">
      <alignment horizontal="right"/>
    </xf>
    <xf numFmtId="0" fontId="31" fillId="12" borderId="0" xfId="0" applyFont="1" applyFill="1"/>
    <xf numFmtId="4" fontId="30" fillId="11" borderId="4" xfId="0" applyNumberFormat="1" applyFont="1" applyFill="1" applyBorder="1" applyAlignment="1">
      <alignment horizontal="right"/>
    </xf>
    <xf numFmtId="164" fontId="30" fillId="11" borderId="4" xfId="0" applyNumberFormat="1" applyFont="1" applyFill="1" applyBorder="1" applyAlignment="1">
      <alignment horizontal="right"/>
    </xf>
    <xf numFmtId="164" fontId="18" fillId="12" borderId="4" xfId="0" applyNumberFormat="1" applyFont="1" applyFill="1" applyBorder="1" applyAlignment="1">
      <alignment horizontal="right"/>
    </xf>
    <xf numFmtId="0" fontId="0" fillId="17" borderId="0" xfId="0" applyFill="1"/>
    <xf numFmtId="0" fontId="5" fillId="17" borderId="0" xfId="0" applyFont="1" applyFill="1" applyAlignment="1">
      <alignment horizontal="center"/>
    </xf>
    <xf numFmtId="0" fontId="1" fillId="17" borderId="0" xfId="0" applyFont="1" applyFill="1"/>
    <xf numFmtId="0" fontId="8" fillId="18" borderId="0" xfId="0" applyFont="1" applyFill="1"/>
    <xf numFmtId="3" fontId="8" fillId="18" borderId="0" xfId="0" applyNumberFormat="1" applyFont="1" applyFill="1"/>
    <xf numFmtId="0" fontId="8" fillId="0" borderId="0" xfId="0" applyFont="1" applyAlignment="1">
      <alignment horizontal="center"/>
    </xf>
    <xf numFmtId="3" fontId="13" fillId="11" borderId="0" xfId="0" applyNumberFormat="1" applyFont="1" applyFill="1"/>
    <xf numFmtId="3" fontId="0" fillId="11" borderId="0" xfId="0" applyNumberFormat="1" applyFill="1"/>
    <xf numFmtId="3" fontId="0" fillId="18" borderId="0" xfId="0" applyNumberFormat="1" applyFill="1"/>
    <xf numFmtId="3" fontId="0" fillId="11" borderId="0" xfId="0" applyNumberFormat="1" applyFill="1" applyAlignment="1">
      <alignment horizontal="right"/>
    </xf>
    <xf numFmtId="0" fontId="13" fillId="18" borderId="0" xfId="0" applyFont="1" applyFill="1"/>
    <xf numFmtId="0" fontId="0" fillId="18" borderId="0" xfId="0" applyFill="1"/>
    <xf numFmtId="3" fontId="0" fillId="18" borderId="0" xfId="0" applyNumberFormat="1" applyFill="1" applyAlignment="1">
      <alignment horizontal="right"/>
    </xf>
    <xf numFmtId="10" fontId="17" fillId="11" borderId="4" xfId="0" applyNumberFormat="1" applyFont="1" applyFill="1" applyBorder="1" applyAlignment="1">
      <alignment horizontal="right"/>
    </xf>
    <xf numFmtId="0" fontId="13" fillId="0" borderId="0" xfId="0" applyFont="1" applyAlignment="1">
      <alignment horizontal="left" vertical="center"/>
    </xf>
    <xf numFmtId="0" fontId="13" fillId="0" borderId="0" xfId="0" applyFont="1" applyAlignment="1">
      <alignment horizontal="left" indent="1"/>
    </xf>
    <xf numFmtId="0" fontId="32" fillId="0" borderId="0" xfId="0" applyFont="1" applyAlignment="1">
      <alignment horizontal="left" indent="1"/>
    </xf>
    <xf numFmtId="10" fontId="17" fillId="11" borderId="4" xfId="0" applyNumberFormat="1" applyFont="1" applyFill="1" applyBorder="1" applyAlignment="1">
      <alignment horizontal="center"/>
    </xf>
    <xf numFmtId="0" fontId="17" fillId="11" borderId="4" xfId="0" applyFont="1" applyFill="1" applyBorder="1" applyAlignment="1">
      <alignment horizontal="center"/>
    </xf>
    <xf numFmtId="164" fontId="15" fillId="9" borderId="8" xfId="0" applyNumberFormat="1" applyFont="1" applyFill="1" applyBorder="1" applyAlignment="1">
      <alignment horizontal="center"/>
    </xf>
    <xf numFmtId="0" fontId="15" fillId="9" borderId="5" xfId="0" applyFont="1" applyFill="1" applyBorder="1" applyAlignment="1">
      <alignment horizontal="right"/>
    </xf>
    <xf numFmtId="0" fontId="8" fillId="19" borderId="0" xfId="0" applyFont="1" applyFill="1" applyAlignment="1">
      <alignment horizontal="left"/>
    </xf>
    <xf numFmtId="49" fontId="44" fillId="0" borderId="0" xfId="0" applyNumberFormat="1" applyFont="1" applyAlignment="1">
      <alignment horizontal="centerContinuous"/>
    </xf>
    <xf numFmtId="0" fontId="44" fillId="0" borderId="0" xfId="0" applyFont="1" applyAlignment="1">
      <alignment horizontal="centerContinuous"/>
    </xf>
    <xf numFmtId="0" fontId="44" fillId="0" borderId="2" xfId="0" applyFont="1" applyBorder="1" applyAlignment="1">
      <alignment horizontal="centerContinuous"/>
    </xf>
    <xf numFmtId="0" fontId="44" fillId="0" borderId="0" xfId="0" applyFont="1" applyAlignment="1">
      <alignment horizontal="center"/>
    </xf>
    <xf numFmtId="0" fontId="44" fillId="0" borderId="2" xfId="0" applyFont="1" applyBorder="1" applyAlignment="1">
      <alignment horizontal="center"/>
    </xf>
    <xf numFmtId="0" fontId="44" fillId="0" borderId="0" xfId="0" applyFont="1"/>
    <xf numFmtId="37" fontId="44" fillId="0" borderId="0" xfId="0" applyNumberFormat="1" applyFont="1"/>
    <xf numFmtId="0" fontId="46" fillId="0" borderId="0" xfId="0" applyFont="1"/>
    <xf numFmtId="2" fontId="0" fillId="0" borderId="0" xfId="0" applyNumberFormat="1" applyAlignment="1">
      <alignment horizontal="left" vertical="center" wrapText="1"/>
    </xf>
    <xf numFmtId="49" fontId="0" fillId="0" borderId="9" xfId="0" applyNumberFormat="1" applyBorder="1"/>
    <xf numFmtId="49" fontId="0" fillId="16" borderId="9" xfId="0" applyNumberFormat="1" applyFill="1" applyBorder="1"/>
    <xf numFmtId="0" fontId="47" fillId="0" borderId="9" xfId="0" applyFont="1" applyBorder="1" applyAlignment="1">
      <alignment horizontal="center" vertical="center"/>
    </xf>
    <xf numFmtId="164" fontId="0" fillId="47" borderId="9" xfId="0" applyNumberFormat="1" applyFill="1" applyBorder="1"/>
    <xf numFmtId="164" fontId="0" fillId="6" borderId="9" xfId="0" applyNumberFormat="1" applyFill="1" applyBorder="1"/>
    <xf numFmtId="2" fontId="0" fillId="47" borderId="9" xfId="0" applyNumberFormat="1" applyFill="1" applyBorder="1"/>
    <xf numFmtId="2" fontId="0" fillId="6" borderId="9" xfId="0" applyNumberFormat="1" applyFill="1" applyBorder="1"/>
    <xf numFmtId="164" fontId="20" fillId="16" borderId="9" xfId="0" applyNumberFormat="1" applyFont="1" applyFill="1" applyBorder="1" applyAlignment="1">
      <alignment horizontal="center"/>
    </xf>
    <xf numFmtId="10" fontId="0" fillId="0" borderId="0" xfId="0" applyNumberFormat="1"/>
    <xf numFmtId="15" fontId="48" fillId="0" borderId="0" xfId="0" applyNumberFormat="1" applyFont="1" applyAlignment="1">
      <alignment horizontal="center"/>
    </xf>
    <xf numFmtId="0" fontId="48" fillId="0" borderId="0" xfId="0" applyFont="1" applyAlignment="1">
      <alignment horizontal="center"/>
    </xf>
    <xf numFmtId="10" fontId="48" fillId="0" borderId="0" xfId="0" applyNumberFormat="1" applyFont="1" applyAlignment="1">
      <alignment horizontal="center"/>
    </xf>
    <xf numFmtId="171" fontId="0" fillId="0" borderId="0" xfId="0" applyNumberFormat="1"/>
    <xf numFmtId="164" fontId="1" fillId="0" borderId="0" xfId="0" applyNumberFormat="1" applyFont="1"/>
    <xf numFmtId="164" fontId="15" fillId="9" borderId="8" xfId="0" applyNumberFormat="1" applyFont="1" applyFill="1" applyBorder="1" applyAlignment="1">
      <alignment horizontal="right"/>
    </xf>
    <xf numFmtId="1" fontId="15" fillId="9" borderId="8" xfId="0" applyNumberFormat="1" applyFont="1" applyFill="1" applyBorder="1" applyAlignment="1">
      <alignment horizontal="right"/>
    </xf>
    <xf numFmtId="0" fontId="49" fillId="0" borderId="0" xfId="0" applyFont="1" applyAlignment="1">
      <alignment horizontal="left" vertical="center"/>
    </xf>
    <xf numFmtId="0" fontId="50" fillId="0" borderId="0" xfId="0" applyFont="1"/>
    <xf numFmtId="0" fontId="51" fillId="48" borderId="19" xfId="0" applyFont="1" applyFill="1" applyBorder="1" applyAlignment="1">
      <alignment horizontal="left" vertical="center" shrinkToFit="1"/>
    </xf>
    <xf numFmtId="14" fontId="51" fillId="48" borderId="19" xfId="0" applyNumberFormat="1" applyFont="1" applyFill="1" applyBorder="1" applyAlignment="1">
      <alignment horizontal="right" vertical="center" shrinkToFit="1"/>
    </xf>
    <xf numFmtId="0" fontId="51" fillId="49" borderId="19" xfId="0" applyFont="1" applyFill="1" applyBorder="1" applyAlignment="1">
      <alignment horizontal="left" vertical="center" shrinkToFit="1"/>
    </xf>
    <xf numFmtId="0" fontId="51" fillId="49" borderId="19" xfId="0" applyFont="1" applyFill="1" applyBorder="1" applyAlignment="1">
      <alignment horizontal="right" vertical="center" shrinkToFit="1"/>
    </xf>
    <xf numFmtId="3" fontId="51" fillId="49" borderId="19" xfId="0" applyNumberFormat="1" applyFont="1" applyFill="1" applyBorder="1" applyAlignment="1">
      <alignment horizontal="right" vertical="center" shrinkToFit="1"/>
    </xf>
    <xf numFmtId="0" fontId="52" fillId="49" borderId="19" xfId="0" applyFont="1" applyFill="1" applyBorder="1" applyAlignment="1">
      <alignment horizontal="left" vertical="center" indent="1" shrinkToFit="1"/>
    </xf>
    <xf numFmtId="3" fontId="52" fillId="49" borderId="19" xfId="0" applyNumberFormat="1" applyFont="1" applyFill="1" applyBorder="1" applyAlignment="1">
      <alignment horizontal="right" vertical="center" shrinkToFit="1"/>
    </xf>
    <xf numFmtId="0" fontId="53" fillId="49" borderId="19" xfId="0" applyFont="1" applyFill="1" applyBorder="1" applyAlignment="1">
      <alignment horizontal="left" vertical="center" indent="2" shrinkToFit="1"/>
    </xf>
    <xf numFmtId="0" fontId="53" fillId="49" borderId="19" xfId="0" applyFont="1" applyFill="1" applyBorder="1" applyAlignment="1">
      <alignment horizontal="right" vertical="center" shrinkToFit="1"/>
    </xf>
    <xf numFmtId="3" fontId="53" fillId="49" borderId="19" xfId="0" applyNumberFormat="1" applyFont="1" applyFill="1" applyBorder="1" applyAlignment="1">
      <alignment horizontal="right" vertical="center" shrinkToFit="1"/>
    </xf>
    <xf numFmtId="0" fontId="52" fillId="49" borderId="19" xfId="0" applyFont="1" applyFill="1" applyBorder="1" applyAlignment="1">
      <alignment horizontal="left" vertical="center" indent="3" shrinkToFit="1"/>
    </xf>
    <xf numFmtId="0" fontId="52" fillId="49" borderId="19" xfId="0" applyFont="1" applyFill="1" applyBorder="1" applyAlignment="1">
      <alignment horizontal="right" vertical="center" shrinkToFit="1"/>
    </xf>
    <xf numFmtId="0" fontId="51" fillId="49" borderId="19" xfId="0" applyFont="1" applyFill="1" applyBorder="1" applyAlignment="1">
      <alignment horizontal="left" vertical="center" indent="4" shrinkToFit="1"/>
    </xf>
    <xf numFmtId="0" fontId="52" fillId="49" borderId="19" xfId="0" applyFont="1" applyFill="1" applyBorder="1" applyAlignment="1">
      <alignment horizontal="left" vertical="center" indent="5" shrinkToFit="1"/>
    </xf>
    <xf numFmtId="14" fontId="51" fillId="49" borderId="19" xfId="0" applyNumberFormat="1" applyFont="1" applyFill="1" applyBorder="1" applyAlignment="1">
      <alignment horizontal="right" vertical="center" shrinkToFit="1"/>
    </xf>
    <xf numFmtId="0" fontId="6" fillId="0" borderId="0" xfId="0" applyFont="1" applyAlignment="1">
      <alignment horizontal="center"/>
    </xf>
    <xf numFmtId="3" fontId="20" fillId="0" borderId="0" xfId="0" applyNumberFormat="1" applyFont="1" applyAlignment="1">
      <alignment horizontal="center"/>
    </xf>
    <xf numFmtId="164" fontId="13" fillId="0" borderId="0" xfId="0" applyNumberFormat="1" applyFont="1"/>
    <xf numFmtId="172" fontId="0" fillId="0" borderId="0" xfId="0" applyNumberFormat="1"/>
    <xf numFmtId="164" fontId="18" fillId="11" borderId="7" xfId="0" applyNumberFormat="1" applyFont="1" applyFill="1" applyBorder="1" applyAlignment="1">
      <alignment horizontal="right"/>
    </xf>
    <xf numFmtId="164" fontId="26" fillId="0" borderId="10" xfId="0" applyNumberFormat="1" applyFont="1" applyBorder="1" applyAlignment="1">
      <alignment horizontal="center" vertical="center" wrapText="1"/>
    </xf>
    <xf numFmtId="166" fontId="26" fillId="13" borderId="10" xfId="0" applyNumberFormat="1" applyFont="1" applyFill="1" applyBorder="1" applyAlignment="1">
      <alignment horizontal="center" vertical="top"/>
    </xf>
    <xf numFmtId="3" fontId="26" fillId="13" borderId="10" xfId="0" applyNumberFormat="1" applyFont="1" applyFill="1" applyBorder="1" applyAlignment="1">
      <alignment horizontal="left" vertical="center"/>
    </xf>
    <xf numFmtId="164" fontId="26" fillId="0" borderId="10" xfId="0" applyNumberFormat="1" applyFont="1" applyBorder="1" applyAlignment="1">
      <alignment horizontal="center" vertical="center"/>
    </xf>
    <xf numFmtId="0" fontId="26" fillId="13" borderId="10" xfId="0" applyFont="1" applyFill="1" applyBorder="1" applyAlignment="1">
      <alignment horizontal="center" vertical="center"/>
    </xf>
    <xf numFmtId="0" fontId="8" fillId="50" borderId="0" xfId="0" applyFont="1" applyFill="1"/>
    <xf numFmtId="0" fontId="6" fillId="50" borderId="0" xfId="0" applyFont="1" applyFill="1"/>
    <xf numFmtId="0" fontId="13" fillId="50" borderId="0" xfId="0" applyFont="1" applyFill="1"/>
  </cellXfs>
  <cellStyles count="47">
    <cellStyle name="20% - Ênfase1" xfId="26" builtinId="30" hidden="1"/>
    <cellStyle name="20% - Ênfase2" xfId="29" builtinId="34" hidden="1"/>
    <cellStyle name="20% - Ênfase3" xfId="33" builtinId="38" hidden="1"/>
    <cellStyle name="20% - Ênfase4" xfId="37" builtinId="42" hidden="1"/>
    <cellStyle name="20% - Ênfase5" xfId="41" builtinId="46" hidden="1"/>
    <cellStyle name="20% - Ênfase6" xfId="4" builtinId="50" hidden="1"/>
    <cellStyle name="40% - Ênfase1" xfId="27" builtinId="31" hidden="1"/>
    <cellStyle name="40% - Ênfase2" xfId="30" builtinId="35" hidden="1"/>
    <cellStyle name="40% - Ênfase3" xfId="34" builtinId="39" hidden="1"/>
    <cellStyle name="40% - Ênfase4" xfId="38" builtinId="43" hidden="1"/>
    <cellStyle name="40% - Ênfase5" xfId="42" builtinId="47" hidden="1"/>
    <cellStyle name="40% - Ênfase6" xfId="45" builtinId="51" hidden="1"/>
    <cellStyle name="60% - Ênfase1" xfId="3" builtinId="32" hidden="1"/>
    <cellStyle name="60% - Ênfase2" xfId="31" builtinId="36" hidden="1"/>
    <cellStyle name="60% - Ênfase3" xfId="35" builtinId="40" hidden="1"/>
    <cellStyle name="60% - Ênfase4" xfId="39" builtinId="44" hidden="1"/>
    <cellStyle name="60% - Ênfase5" xfId="43" builtinId="48" hidden="1"/>
    <cellStyle name="60% - Ênfase6" xfId="46" builtinId="52" hidden="1"/>
    <cellStyle name="Bom" xfId="13" builtinId="26" hidden="1"/>
    <cellStyle name="Cálculo" xfId="18" builtinId="22" hidden="1"/>
    <cellStyle name="Célula de Verificação" xfId="20" builtinId="23" hidden="1"/>
    <cellStyle name="Célula Vinculada" xfId="19" builtinId="24" hidden="1"/>
    <cellStyle name="Ênfase1" xfId="25" builtinId="29" hidden="1"/>
    <cellStyle name="Ênfase2" xfId="28" builtinId="33" hidden="1"/>
    <cellStyle name="Ênfase3" xfId="32" builtinId="37" hidden="1"/>
    <cellStyle name="Ênfase4" xfId="36" builtinId="41" hidden="1"/>
    <cellStyle name="Ênfase5" xfId="40" builtinId="45" hidden="1"/>
    <cellStyle name="Ênfase6" xfId="44" builtinId="49" hidden="1"/>
    <cellStyle name="Entrada" xfId="16" builtinId="20" hidden="1"/>
    <cellStyle name="Moeda" xfId="6" builtinId="4" hidden="1"/>
    <cellStyle name="Moeda [0]" xfId="7" builtinId="7" hidden="1"/>
    <cellStyle name="Neutro" xfId="15" builtinId="28" hidden="1"/>
    <cellStyle name="Normal" xfId="0" builtinId="0"/>
    <cellStyle name="Nota" xfId="22" builtinId="10" hidden="1"/>
    <cellStyle name="Porcentagem" xfId="2" builtinId="5" hidden="1"/>
    <cellStyle name="Ruim" xfId="14" builtinId="27" hidden="1"/>
    <cellStyle name="Saída" xfId="17" builtinId="21" hidden="1"/>
    <cellStyle name="Separador de milhares [0]" xfId="5" builtinId="6" hidden="1"/>
    <cellStyle name="Texto de Aviso" xfId="21" builtinId="11" hidden="1"/>
    <cellStyle name="Texto Explicativo" xfId="23" builtinId="53" hidden="1"/>
    <cellStyle name="Título" xfId="8" builtinId="15" hidden="1"/>
    <cellStyle name="Título 1" xfId="9" builtinId="16" hidden="1"/>
    <cellStyle name="Título 2" xfId="10" builtinId="17" hidden="1"/>
    <cellStyle name="Título 3" xfId="11" builtinId="18" hidden="1"/>
    <cellStyle name="Título 4" xfId="12" builtinId="19" hidden="1"/>
    <cellStyle name="Total" xfId="24" builtinId="25" hidden="1"/>
    <cellStyle name="Vírgula" xfId="1" builtinId="3" hidden="1"/>
  </cellStyles>
  <dxfs count="0"/>
  <tableStyles count="0" defaultTableStyle="TableStyleMedium2" defaultPivotStyle="PivotStyleLight16"/>
  <colors>
    <mruColors>
      <color rgb="FFFEE6F8"/>
      <color rgb="FFE00AA8"/>
      <color rgb="FFF977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82912918826486"/>
          <c:y val="6.9169774830777728E-2"/>
          <c:w val="0.85245681499114934"/>
          <c:h val="0.68377927030200014"/>
        </c:manualLayout>
      </c:layout>
      <c:lineChart>
        <c:grouping val="standard"/>
        <c:varyColors val="0"/>
        <c:ser>
          <c:idx val="0"/>
          <c:order val="0"/>
          <c:tx>
            <c:strRef>
              <c:f>'Gráficos - Monografia'!$A$47</c:f>
              <c:strCache>
                <c:ptCount val="1"/>
                <c:pt idx="0">
                  <c:v>Produção Líquida de Petróleo - 1P</c:v>
                </c:pt>
              </c:strCache>
            </c:strRef>
          </c:tx>
          <c:spPr>
            <a:ln w="12700" cap="rnd">
              <a:solidFill>
                <a:srgbClr val="C00000"/>
              </a:solidFill>
              <a:round/>
            </a:ln>
            <a:effectLst/>
          </c:spPr>
          <c:marker>
            <c:symbol val="none"/>
          </c:marker>
          <c:cat>
            <c:numRef>
              <c:extLst>
                <c:ext xmlns:c15="http://schemas.microsoft.com/office/drawing/2012/chart" uri="{02D57815-91ED-43cb-92C2-25804820EDAC}">
                  <c15:fullRef>
                    <c15:sqref>'Gráficos - Monografia'!$B$46:$AQ$46</c15:sqref>
                  </c15:fullRef>
                </c:ext>
              </c:extLst>
              <c:f>'Gráficos - Monografia'!$B$46:$AH$46</c:f>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numCache>
            </c:numRef>
          </c:cat>
          <c:val>
            <c:numRef>
              <c:extLst>
                <c:ext xmlns:c15="http://schemas.microsoft.com/office/drawing/2012/chart" uri="{02D57815-91ED-43cb-92C2-25804820EDAC}">
                  <c15:fullRef>
                    <c15:sqref>'Gráficos - Monografia'!$B$47:$AQ$47</c15:sqref>
                  </c15:fullRef>
                </c:ext>
              </c:extLst>
              <c:f>'Gráficos - Monografia'!$B$47:$AH$47</c:f>
              <c:numCache>
                <c:formatCode>General</c:formatCode>
                <c:ptCount val="33"/>
                <c:pt idx="0">
                  <c:v>38312</c:v>
                </c:pt>
                <c:pt idx="1">
                  <c:v>45712</c:v>
                </c:pt>
                <c:pt idx="2">
                  <c:v>46845</c:v>
                </c:pt>
                <c:pt idx="3">
                  <c:v>47715</c:v>
                </c:pt>
                <c:pt idx="4">
                  <c:v>45380</c:v>
                </c:pt>
                <c:pt idx="5">
                  <c:v>44900</c:v>
                </c:pt>
                <c:pt idx="6">
                  <c:v>40749</c:v>
                </c:pt>
                <c:pt idx="7">
                  <c:v>34538</c:v>
                </c:pt>
                <c:pt idx="8">
                  <c:v>29553</c:v>
                </c:pt>
                <c:pt idx="9">
                  <c:v>25265</c:v>
                </c:pt>
                <c:pt idx="10">
                  <c:v>21562</c:v>
                </c:pt>
                <c:pt idx="11">
                  <c:v>17236</c:v>
                </c:pt>
                <c:pt idx="12">
                  <c:v>14875</c:v>
                </c:pt>
                <c:pt idx="13">
                  <c:v>12760</c:v>
                </c:pt>
                <c:pt idx="14">
                  <c:v>11129</c:v>
                </c:pt>
                <c:pt idx="15">
                  <c:v>9555</c:v>
                </c:pt>
                <c:pt idx="16">
                  <c:v>8126</c:v>
                </c:pt>
                <c:pt idx="17">
                  <c:v>7225</c:v>
                </c:pt>
                <c:pt idx="18">
                  <c:v>6378</c:v>
                </c:pt>
                <c:pt idx="19">
                  <c:v>5708</c:v>
                </c:pt>
                <c:pt idx="20">
                  <c:v>5113</c:v>
                </c:pt>
                <c:pt idx="21">
                  <c:v>4513</c:v>
                </c:pt>
                <c:pt idx="22">
                  <c:v>3959</c:v>
                </c:pt>
                <c:pt idx="23">
                  <c:v>2160</c:v>
                </c:pt>
                <c:pt idx="24">
                  <c:v>1980</c:v>
                </c:pt>
                <c:pt idx="25">
                  <c:v>1725</c:v>
                </c:pt>
                <c:pt idx="26">
                  <c:v>1566</c:v>
                </c:pt>
                <c:pt idx="27">
                  <c:v>1406</c:v>
                </c:pt>
                <c:pt idx="28">
                  <c:v>1150</c:v>
                </c:pt>
                <c:pt idx="29">
                  <c:v>0</c:v>
                </c:pt>
                <c:pt idx="30">
                  <c:v>0</c:v>
                </c:pt>
                <c:pt idx="31">
                  <c:v>0</c:v>
                </c:pt>
                <c:pt idx="32">
                  <c:v>0</c:v>
                </c:pt>
              </c:numCache>
            </c:numRef>
          </c:val>
          <c:smooth val="0"/>
          <c:extLst>
            <c:ext xmlns:c16="http://schemas.microsoft.com/office/drawing/2014/chart" uri="{C3380CC4-5D6E-409C-BE32-E72D297353CC}">
              <c16:uniqueId val="{00000000-8978-46AD-A4D8-2F1F931376A2}"/>
            </c:ext>
          </c:extLst>
        </c:ser>
        <c:ser>
          <c:idx val="1"/>
          <c:order val="1"/>
          <c:tx>
            <c:strRef>
              <c:f>'Gráficos - Monografia'!$A$48</c:f>
              <c:strCache>
                <c:ptCount val="1"/>
                <c:pt idx="0">
                  <c:v>Produção Líquida de Petróleo - 2P</c:v>
                </c:pt>
              </c:strCache>
            </c:strRef>
          </c:tx>
          <c:spPr>
            <a:ln w="12700" cap="rnd">
              <a:solidFill>
                <a:schemeClr val="accent4">
                  <a:lumMod val="50000"/>
                </a:schemeClr>
              </a:solidFill>
              <a:round/>
            </a:ln>
            <a:effectLst/>
          </c:spPr>
          <c:marker>
            <c:symbol val="none"/>
          </c:marker>
          <c:cat>
            <c:numRef>
              <c:extLst>
                <c:ext xmlns:c15="http://schemas.microsoft.com/office/drawing/2012/chart" uri="{02D57815-91ED-43cb-92C2-25804820EDAC}">
                  <c15:fullRef>
                    <c15:sqref>'Gráficos - Monografia'!$B$46:$AQ$46</c15:sqref>
                  </c15:fullRef>
                </c:ext>
              </c:extLst>
              <c:f>'Gráficos - Monografia'!$B$46:$AH$46</c:f>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numCache>
            </c:numRef>
          </c:cat>
          <c:val>
            <c:numRef>
              <c:extLst>
                <c:ext xmlns:c15="http://schemas.microsoft.com/office/drawing/2012/chart" uri="{02D57815-91ED-43cb-92C2-25804820EDAC}">
                  <c15:fullRef>
                    <c15:sqref>'Gráficos - Monografia'!$B$48:$AQ$48</c15:sqref>
                  </c15:fullRef>
                </c:ext>
              </c:extLst>
              <c:f>'Gráficos - Monografia'!$B$48:$AH$48</c:f>
              <c:numCache>
                <c:formatCode>General</c:formatCode>
                <c:ptCount val="33"/>
                <c:pt idx="0">
                  <c:v>41329</c:v>
                </c:pt>
                <c:pt idx="1">
                  <c:v>54228</c:v>
                </c:pt>
                <c:pt idx="2">
                  <c:v>57788</c:v>
                </c:pt>
                <c:pt idx="3">
                  <c:v>60808</c:v>
                </c:pt>
                <c:pt idx="4">
                  <c:v>59713</c:v>
                </c:pt>
                <c:pt idx="5">
                  <c:v>60129</c:v>
                </c:pt>
                <c:pt idx="6">
                  <c:v>54435</c:v>
                </c:pt>
                <c:pt idx="7">
                  <c:v>46226</c:v>
                </c:pt>
                <c:pt idx="8">
                  <c:v>40054</c:v>
                </c:pt>
                <c:pt idx="9">
                  <c:v>35040</c:v>
                </c:pt>
                <c:pt idx="10">
                  <c:v>30882</c:v>
                </c:pt>
                <c:pt idx="11">
                  <c:v>26878</c:v>
                </c:pt>
                <c:pt idx="12">
                  <c:v>23064</c:v>
                </c:pt>
                <c:pt idx="13">
                  <c:v>19874</c:v>
                </c:pt>
                <c:pt idx="14">
                  <c:v>17538</c:v>
                </c:pt>
                <c:pt idx="15">
                  <c:v>15635</c:v>
                </c:pt>
                <c:pt idx="16">
                  <c:v>12344</c:v>
                </c:pt>
                <c:pt idx="17">
                  <c:v>10815</c:v>
                </c:pt>
                <c:pt idx="18">
                  <c:v>9503</c:v>
                </c:pt>
                <c:pt idx="19">
                  <c:v>8310</c:v>
                </c:pt>
                <c:pt idx="20">
                  <c:v>7380</c:v>
                </c:pt>
                <c:pt idx="21">
                  <c:v>6410</c:v>
                </c:pt>
                <c:pt idx="22">
                  <c:v>5809</c:v>
                </c:pt>
                <c:pt idx="23">
                  <c:v>5326</c:v>
                </c:pt>
                <c:pt idx="24">
                  <c:v>4915</c:v>
                </c:pt>
                <c:pt idx="25">
                  <c:v>4307</c:v>
                </c:pt>
                <c:pt idx="26">
                  <c:v>3925</c:v>
                </c:pt>
                <c:pt idx="27">
                  <c:v>3653</c:v>
                </c:pt>
                <c:pt idx="28">
                  <c:v>2290</c:v>
                </c:pt>
                <c:pt idx="29">
                  <c:v>0</c:v>
                </c:pt>
                <c:pt idx="30">
                  <c:v>0</c:v>
                </c:pt>
                <c:pt idx="31">
                  <c:v>0</c:v>
                </c:pt>
                <c:pt idx="32">
                  <c:v>0</c:v>
                </c:pt>
              </c:numCache>
            </c:numRef>
          </c:val>
          <c:smooth val="0"/>
          <c:extLst>
            <c:ext xmlns:c16="http://schemas.microsoft.com/office/drawing/2014/chart" uri="{C3380CC4-5D6E-409C-BE32-E72D297353CC}">
              <c16:uniqueId val="{00000001-8978-46AD-A4D8-2F1F931376A2}"/>
            </c:ext>
          </c:extLst>
        </c:ser>
        <c:ser>
          <c:idx val="2"/>
          <c:order val="2"/>
          <c:tx>
            <c:strRef>
              <c:f>'Gráficos - Monografia'!$A$49</c:f>
              <c:strCache>
                <c:ptCount val="1"/>
                <c:pt idx="0">
                  <c:v>Produção Líquida de Petróleo - 3P</c:v>
                </c:pt>
              </c:strCache>
            </c:strRef>
          </c:tx>
          <c:spPr>
            <a:ln w="12700" cap="rnd">
              <a:solidFill>
                <a:schemeClr val="accent6">
                  <a:lumMod val="50000"/>
                </a:schemeClr>
              </a:solidFill>
              <a:round/>
            </a:ln>
            <a:effectLst/>
          </c:spPr>
          <c:marker>
            <c:symbol val="none"/>
          </c:marker>
          <c:cat>
            <c:numRef>
              <c:extLst>
                <c:ext xmlns:c15="http://schemas.microsoft.com/office/drawing/2012/chart" uri="{02D57815-91ED-43cb-92C2-25804820EDAC}">
                  <c15:fullRef>
                    <c15:sqref>'Gráficos - Monografia'!$B$46:$AQ$46</c15:sqref>
                  </c15:fullRef>
                </c:ext>
              </c:extLst>
              <c:f>'Gráficos - Monografia'!$B$46:$AH$46</c:f>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numCache>
            </c:numRef>
          </c:cat>
          <c:val>
            <c:numRef>
              <c:extLst>
                <c:ext xmlns:c15="http://schemas.microsoft.com/office/drawing/2012/chart" uri="{02D57815-91ED-43cb-92C2-25804820EDAC}">
                  <c15:fullRef>
                    <c15:sqref>'Gráficos - Monografia'!$B$49:$AQ$49</c15:sqref>
                  </c15:fullRef>
                </c:ext>
              </c:extLst>
              <c:f>'Gráficos - Monografia'!$B$49:$AH$49</c:f>
              <c:numCache>
                <c:formatCode>General</c:formatCode>
                <c:ptCount val="33"/>
                <c:pt idx="0">
                  <c:v>43669</c:v>
                </c:pt>
                <c:pt idx="1">
                  <c:v>59843</c:v>
                </c:pt>
                <c:pt idx="2">
                  <c:v>65646</c:v>
                </c:pt>
                <c:pt idx="3">
                  <c:v>70291</c:v>
                </c:pt>
                <c:pt idx="4">
                  <c:v>67927</c:v>
                </c:pt>
                <c:pt idx="5">
                  <c:v>69074</c:v>
                </c:pt>
                <c:pt idx="6">
                  <c:v>64825</c:v>
                </c:pt>
                <c:pt idx="7">
                  <c:v>55514</c:v>
                </c:pt>
                <c:pt idx="8">
                  <c:v>48619</c:v>
                </c:pt>
                <c:pt idx="9">
                  <c:v>42960</c:v>
                </c:pt>
                <c:pt idx="10">
                  <c:v>38290</c:v>
                </c:pt>
                <c:pt idx="11">
                  <c:v>34367</c:v>
                </c:pt>
                <c:pt idx="12">
                  <c:v>30925</c:v>
                </c:pt>
                <c:pt idx="13">
                  <c:v>27809</c:v>
                </c:pt>
                <c:pt idx="14">
                  <c:v>24794</c:v>
                </c:pt>
                <c:pt idx="15">
                  <c:v>22185</c:v>
                </c:pt>
                <c:pt idx="16">
                  <c:v>20209</c:v>
                </c:pt>
                <c:pt idx="17">
                  <c:v>18462</c:v>
                </c:pt>
                <c:pt idx="18">
                  <c:v>16735</c:v>
                </c:pt>
                <c:pt idx="19">
                  <c:v>14954</c:v>
                </c:pt>
                <c:pt idx="20">
                  <c:v>13455</c:v>
                </c:pt>
                <c:pt idx="21">
                  <c:v>12406</c:v>
                </c:pt>
                <c:pt idx="22">
                  <c:v>11326</c:v>
                </c:pt>
                <c:pt idx="23">
                  <c:v>10576</c:v>
                </c:pt>
                <c:pt idx="24">
                  <c:v>9867</c:v>
                </c:pt>
                <c:pt idx="25">
                  <c:v>7588</c:v>
                </c:pt>
                <c:pt idx="26">
                  <c:v>7165</c:v>
                </c:pt>
                <c:pt idx="27">
                  <c:v>6748</c:v>
                </c:pt>
                <c:pt idx="28">
                  <c:v>4327</c:v>
                </c:pt>
                <c:pt idx="29">
                  <c:v>1117</c:v>
                </c:pt>
                <c:pt idx="30">
                  <c:v>1046</c:v>
                </c:pt>
                <c:pt idx="31">
                  <c:v>0</c:v>
                </c:pt>
                <c:pt idx="32">
                  <c:v>0</c:v>
                </c:pt>
              </c:numCache>
            </c:numRef>
          </c:val>
          <c:smooth val="0"/>
          <c:extLst>
            <c:ext xmlns:c16="http://schemas.microsoft.com/office/drawing/2014/chart" uri="{C3380CC4-5D6E-409C-BE32-E72D297353CC}">
              <c16:uniqueId val="{00000002-8978-46AD-A4D8-2F1F931376A2}"/>
            </c:ext>
          </c:extLst>
        </c:ser>
        <c:dLbls>
          <c:showLegendKey val="0"/>
          <c:showVal val="0"/>
          <c:showCatName val="0"/>
          <c:showSerName val="0"/>
          <c:showPercent val="0"/>
          <c:showBubbleSize val="0"/>
        </c:dLbls>
        <c:smooth val="0"/>
        <c:axId val="1004367344"/>
        <c:axId val="1248593040"/>
      </c:lineChart>
      <c:catAx>
        <c:axId val="100436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Ano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248593040"/>
        <c:crosses val="autoZero"/>
        <c:auto val="1"/>
        <c:lblAlgn val="ctr"/>
        <c:lblOffset val="100"/>
        <c:noMultiLvlLbl val="0"/>
      </c:catAx>
      <c:valAx>
        <c:axId val="124859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Mil Barris </a:t>
                </a:r>
                <a:r>
                  <a:rPr lang="pt-BR" baseline="0"/>
                  <a:t>(kbbl)</a:t>
                </a:r>
                <a:endParaRPr lang="pt-B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004367344"/>
        <c:crosses val="autoZero"/>
        <c:crossBetween val="between"/>
      </c:valAx>
      <c:spPr>
        <a:noFill/>
        <a:ln>
          <a:solidFill>
            <a:schemeClr val="bg1">
              <a:lumMod val="85000"/>
            </a:schemeClr>
          </a:solidFill>
        </a:ln>
        <a:effectLst/>
      </c:spPr>
    </c:plotArea>
    <c:legend>
      <c:legendPos val="b"/>
      <c:layout>
        <c:manualLayout>
          <c:xMode val="edge"/>
          <c:yMode val="edge"/>
          <c:x val="3.6337209302325583E-2"/>
          <c:y val="0.88907716657817493"/>
          <c:w val="0.93856818043093448"/>
          <c:h val="0.110922833421825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63494560058894"/>
          <c:y val="5.1425899953249185E-2"/>
          <c:w val="0.80884764560484868"/>
          <c:h val="0.67175330292689572"/>
        </c:manualLayout>
      </c:layout>
      <c:lineChart>
        <c:grouping val="standard"/>
        <c:varyColors val="0"/>
        <c:ser>
          <c:idx val="1"/>
          <c:order val="0"/>
          <c:tx>
            <c:strRef>
              <c:f>'Gráficos - Monografia'!$A$171</c:f>
              <c:strCache>
                <c:ptCount val="1"/>
                <c:pt idx="0">
                  <c:v>Custos</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ext>
              </c:extLst>
              <c:f>'Gráficos - Monografia'!$B$169:$AG$169</c:f>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Monografia'!$B$171:$AQ$171</c15:sqref>
                  </c15:fullRef>
                </c:ext>
              </c:extLst>
              <c:f>'Gráficos - Monografia'!$B$171:$AG$171</c:f>
              <c:numCache>
                <c:formatCode>#,##0</c:formatCode>
                <c:ptCount val="32"/>
                <c:pt idx="0">
                  <c:v>-4812.1486665140801</c:v>
                </c:pt>
                <c:pt idx="1">
                  <c:v>-5929.6246703844481</c:v>
                </c:pt>
                <c:pt idx="2">
                  <c:v>-6613.9573832003116</c:v>
                </c:pt>
                <c:pt idx="3">
                  <c:v>-7232.5122764203661</c:v>
                </c:pt>
                <c:pt idx="4">
                  <c:v>-7525.6889450110584</c:v>
                </c:pt>
                <c:pt idx="5">
                  <c:v>-7715.4924389519192</c:v>
                </c:pt>
                <c:pt idx="6">
                  <c:v>-6977.1184605563749</c:v>
                </c:pt>
                <c:pt idx="7">
                  <c:v>-5803.3502774851249</c:v>
                </c:pt>
                <c:pt idx="8">
                  <c:v>-5015.0832489032009</c:v>
                </c:pt>
                <c:pt idx="9">
                  <c:v>-4606.0943976703329</c:v>
                </c:pt>
                <c:pt idx="10">
                  <c:v>-4062.5871657171369</c:v>
                </c:pt>
                <c:pt idx="11">
                  <c:v>-3560.9600994159318</c:v>
                </c:pt>
                <c:pt idx="12">
                  <c:v>-3083.651457799438</c:v>
                </c:pt>
                <c:pt idx="13">
                  <c:v>-2702.4183428097294</c:v>
                </c:pt>
                <c:pt idx="14">
                  <c:v>-2387.0742940274672</c:v>
                </c:pt>
                <c:pt idx="15">
                  <c:v>-2042.705787543834</c:v>
                </c:pt>
                <c:pt idx="16">
                  <c:v>-1686.2910214034544</c:v>
                </c:pt>
                <c:pt idx="17">
                  <c:v>-1506.49614636927</c:v>
                </c:pt>
                <c:pt idx="18">
                  <c:v>-1346.8391855099601</c:v>
                </c:pt>
                <c:pt idx="19">
                  <c:v>-1209.3197947711819</c:v>
                </c:pt>
                <c:pt idx="20">
                  <c:v>-1089.2741624015898</c:v>
                </c:pt>
                <c:pt idx="21">
                  <c:v>-988.11392484361261</c:v>
                </c:pt>
                <c:pt idx="22">
                  <c:v>-937.44445955153651</c:v>
                </c:pt>
                <c:pt idx="23">
                  <c:v>-910.40617220954346</c:v>
                </c:pt>
                <c:pt idx="24">
                  <c:v>-875.55178020418407</c:v>
                </c:pt>
                <c:pt idx="25">
                  <c:v>-856.00441010669908</c:v>
                </c:pt>
                <c:pt idx="26">
                  <c:v>-927.0743376356188</c:v>
                </c:pt>
                <c:pt idx="27">
                  <c:v>-632.27801955430641</c:v>
                </c:pt>
                <c:pt idx="28">
                  <c:v>-1.9040216479907539</c:v>
                </c:pt>
                <c:pt idx="29">
                  <c:v>0</c:v>
                </c:pt>
                <c:pt idx="30">
                  <c:v>0</c:v>
                </c:pt>
                <c:pt idx="31">
                  <c:v>0</c:v>
                </c:pt>
              </c:numCache>
            </c:numRef>
          </c:val>
          <c:smooth val="0"/>
          <c:extLst>
            <c:ext xmlns:c16="http://schemas.microsoft.com/office/drawing/2014/chart" uri="{C3380CC4-5D6E-409C-BE32-E72D297353CC}">
              <c16:uniqueId val="{00000001-36FB-41F8-BC9C-B627EC4BCB1B}"/>
            </c:ext>
          </c:extLst>
        </c:ser>
        <c:dLbls>
          <c:showLegendKey val="0"/>
          <c:showVal val="0"/>
          <c:showCatName val="0"/>
          <c:showSerName val="0"/>
          <c:showPercent val="0"/>
          <c:showBubbleSize val="0"/>
        </c:dLbls>
        <c:smooth val="0"/>
        <c:axId val="1340672367"/>
        <c:axId val="1199289631"/>
      </c:lineChart>
      <c:catAx>
        <c:axId val="134067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199289631"/>
        <c:crosses val="autoZero"/>
        <c:auto val="1"/>
        <c:lblAlgn val="ctr"/>
        <c:lblOffset val="100"/>
        <c:noMultiLvlLbl val="0"/>
      </c:catAx>
      <c:valAx>
        <c:axId val="11992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Milhões de </a:t>
                </a:r>
                <a:r>
                  <a:rPr lang="pt-BR" baseline="0"/>
                  <a:t>Reais (R$ mi)</a:t>
                </a:r>
                <a:endParaRPr lang="pt-BR"/>
              </a:p>
            </c:rich>
          </c:tx>
          <c:layout>
            <c:manualLayout>
              <c:xMode val="edge"/>
              <c:yMode val="edge"/>
              <c:x val="2.4968789013732832E-2"/>
              <c:y val="0.105488619672891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340672367"/>
        <c:crosses val="autoZero"/>
        <c:crossBetween val="between"/>
      </c:valAx>
      <c:spPr>
        <a:noFill/>
        <a:ln>
          <a:solidFill>
            <a:schemeClr val="bg1">
              <a:lumMod val="85000"/>
            </a:schemeClr>
          </a:solidFill>
        </a:ln>
        <a:effectLst/>
      </c:spPr>
    </c:plotArea>
    <c:legend>
      <c:legendPos val="b"/>
      <c:layout>
        <c:manualLayout>
          <c:xMode val="edge"/>
          <c:yMode val="edge"/>
          <c:x val="0.41925917187942019"/>
          <c:y val="0.92115308868298895"/>
          <c:w val="0.16148143779156196"/>
          <c:h val="7.41718295030792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279058802570305E-2"/>
          <c:y val="4.2743809313707824E-2"/>
          <c:w val="0.86094944281708807"/>
          <c:h val="0.6970816178915954"/>
        </c:manualLayout>
      </c:layout>
      <c:lineChart>
        <c:grouping val="standard"/>
        <c:varyColors val="0"/>
        <c:ser>
          <c:idx val="2"/>
          <c:order val="2"/>
          <c:tx>
            <c:strRef>
              <c:f>'Gráficos - Monografia'!$A$172</c:f>
              <c:strCache>
                <c:ptCount val="1"/>
                <c:pt idx="0">
                  <c:v>Despesas</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ext>
              </c:extLst>
              <c:f>'Gráficos - Monografia'!$B$169:$AG$169</c:f>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Monografia'!$B$172:$AQ$172</c15:sqref>
                  </c15:fullRef>
                </c:ext>
              </c:extLst>
              <c:f>'Gráficos - Monografia'!$B$172:$AG$172</c:f>
              <c:numCache>
                <c:formatCode>#,##0</c:formatCode>
                <c:ptCount val="32"/>
                <c:pt idx="0">
                  <c:v>-781.1641074364461</c:v>
                </c:pt>
                <c:pt idx="1">
                  <c:v>-968.60880500361225</c:v>
                </c:pt>
                <c:pt idx="2">
                  <c:v>-1002.6853817559345</c:v>
                </c:pt>
                <c:pt idx="3">
                  <c:v>-1037.7793701173921</c:v>
                </c:pt>
                <c:pt idx="4">
                  <c:v>-1071.4625776831185</c:v>
                </c:pt>
                <c:pt idx="5">
                  <c:v>-1103.6064550136125</c:v>
                </c:pt>
                <c:pt idx="6">
                  <c:v>-1136.7146486640211</c:v>
                </c:pt>
                <c:pt idx="7">
                  <c:v>-1170.8160881239421</c:v>
                </c:pt>
                <c:pt idx="8">
                  <c:v>-1205.9405707676606</c:v>
                </c:pt>
                <c:pt idx="9">
                  <c:v>-1242.1187878906908</c:v>
                </c:pt>
                <c:pt idx="10">
                  <c:v>-1279.3823515274119</c:v>
                </c:pt>
                <c:pt idx="11">
                  <c:v>-1317.7638220732347</c:v>
                </c:pt>
                <c:pt idx="12">
                  <c:v>-1357.2967367354322</c:v>
                </c:pt>
                <c:pt idx="13">
                  <c:v>-1398.0156388374955</c:v>
                </c:pt>
                <c:pt idx="14">
                  <c:v>-1333.8309869013071</c:v>
                </c:pt>
                <c:pt idx="15">
                  <c:v>-1217.5835534901532</c:v>
                </c:pt>
                <c:pt idx="16">
                  <c:v>-988.31019648541508</c:v>
                </c:pt>
                <c:pt idx="17">
                  <c:v>-891.93239533312453</c:v>
                </c:pt>
                <c:pt idx="18">
                  <c:v>-807.37276630257566</c:v>
                </c:pt>
                <c:pt idx="19">
                  <c:v>-727.38783404168305</c:v>
                </c:pt>
                <c:pt idx="20">
                  <c:v>-665.50263038108983</c:v>
                </c:pt>
                <c:pt idx="21">
                  <c:v>-595.57429507145696</c:v>
                </c:pt>
                <c:pt idx="22">
                  <c:v>-555.90556504756842</c:v>
                </c:pt>
                <c:pt idx="23">
                  <c:v>-524.93471869167661</c:v>
                </c:pt>
                <c:pt idx="24">
                  <c:v>-498.81926661440571</c:v>
                </c:pt>
                <c:pt idx="25">
                  <c:v>-450.23570974274315</c:v>
                </c:pt>
                <c:pt idx="26">
                  <c:v>-422.83577532815809</c:v>
                </c:pt>
                <c:pt idx="27">
                  <c:v>-405.53919481022302</c:v>
                </c:pt>
                <c:pt idx="28">
                  <c:v>-262.05371220536358</c:v>
                </c:pt>
                <c:pt idx="29">
                  <c:v>0</c:v>
                </c:pt>
                <c:pt idx="30">
                  <c:v>0</c:v>
                </c:pt>
                <c:pt idx="31">
                  <c:v>0</c:v>
                </c:pt>
              </c:numCache>
            </c:numRef>
          </c:val>
          <c:smooth val="0"/>
          <c:extLst>
            <c:ext xmlns:c16="http://schemas.microsoft.com/office/drawing/2014/chart" uri="{C3380CC4-5D6E-409C-BE32-E72D297353CC}">
              <c16:uniqueId val="{00000002-E755-4061-835E-4BAF98321737}"/>
            </c:ext>
          </c:extLst>
        </c:ser>
        <c:ser>
          <c:idx val="5"/>
          <c:order val="5"/>
          <c:tx>
            <c:strRef>
              <c:f>'Gráficos - Monografia'!$A$173</c:f>
              <c:strCache>
                <c:ptCount val="1"/>
                <c:pt idx="0">
                  <c:v>Pagamentos de Passivos de Arrendamento</c:v>
                </c:pt>
              </c:strCache>
            </c:strRef>
          </c:tx>
          <c:spPr>
            <a:ln w="12700" cap="rnd">
              <a:solidFill>
                <a:schemeClr val="bg1">
                  <a:lumMod val="65000"/>
                </a:schemeClr>
              </a:solidFill>
              <a:round/>
            </a:ln>
            <a:effectLst/>
          </c:spPr>
          <c:marker>
            <c:symbol val="none"/>
          </c:marker>
          <c:cat>
            <c:strLit>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'Gráficos - Monografia'!$B$173:$AQ$173</c15:sqref>
                  </c15:fullRef>
                </c:ext>
              </c:extLst>
              <c:f>'Gráficos - Monografia'!$B$173:$AG$173</c:f>
              <c:numCache>
                <c:formatCode>#,##0</c:formatCode>
                <c:ptCount val="32"/>
                <c:pt idx="0">
                  <c:v>-606.71034994196043</c:v>
                </c:pt>
                <c:pt idx="1">
                  <c:v>-752.2938924692171</c:v>
                </c:pt>
                <c:pt idx="2">
                  <c:v>-767.04682698240106</c:v>
                </c:pt>
                <c:pt idx="3">
                  <c:v>-789.3089139823976</c:v>
                </c:pt>
                <c:pt idx="4">
                  <c:v>-760.80364708678349</c:v>
                </c:pt>
                <c:pt idx="5">
                  <c:v>-769.24144291782079</c:v>
                </c:pt>
                <c:pt idx="6">
                  <c:v>-701.89044657131171</c:v>
                </c:pt>
                <c:pt idx="7">
                  <c:v>-600.57601413827888</c:v>
                </c:pt>
                <c:pt idx="8">
                  <c:v>-534.95588829965823</c:v>
                </c:pt>
                <c:pt idx="9">
                  <c:v>-481.48568429685133</c:v>
                </c:pt>
                <c:pt idx="10">
                  <c:v>-436.72502825553636</c:v>
                </c:pt>
                <c:pt idx="11">
                  <c:v>-391.27225962689403</c:v>
                </c:pt>
                <c:pt idx="12">
                  <c:v>-345.42309763379853</c:v>
                </c:pt>
                <c:pt idx="13">
                  <c:v>-306.3149312823852</c:v>
                </c:pt>
                <c:pt idx="14">
                  <c:v>-278.19770838906038</c:v>
                </c:pt>
                <c:pt idx="15">
                  <c:v>-253.95193070157154</c:v>
                </c:pt>
                <c:pt idx="16">
                  <c:v>-206.1322870287525</c:v>
                </c:pt>
                <c:pt idx="17">
                  <c:v>-186.03072717338259</c:v>
                </c:pt>
                <c:pt idx="18">
                  <c:v>-168.39408861156727</c:v>
                </c:pt>
                <c:pt idx="19">
                  <c:v>-151.71159654236703</c:v>
                </c:pt>
                <c:pt idx="20">
                  <c:v>-138.80417273032663</c:v>
                </c:pt>
                <c:pt idx="21">
                  <c:v>-124.2191894560993</c:v>
                </c:pt>
                <c:pt idx="22">
                  <c:v>-115.94546520188339</c:v>
                </c:pt>
                <c:pt idx="23">
                  <c:v>-109.4858623228896</c:v>
                </c:pt>
                <c:pt idx="24">
                  <c:v>-104.03895113789804</c:v>
                </c:pt>
                <c:pt idx="25">
                  <c:v>-93.905857575208003</c:v>
                </c:pt>
                <c:pt idx="26">
                  <c:v>-88.191041351110101</c:v>
                </c:pt>
                <c:pt idx="27">
                  <c:v>-84.583486038397581</c:v>
                </c:pt>
                <c:pt idx="28">
                  <c:v>-54.656656597656863</c:v>
                </c:pt>
                <c:pt idx="29">
                  <c:v>0</c:v>
                </c:pt>
                <c:pt idx="30">
                  <c:v>0</c:v>
                </c:pt>
                <c:pt idx="31">
                  <c:v>0</c:v>
                </c:pt>
              </c:numCache>
            </c:numRef>
          </c:val>
          <c:smooth val="0"/>
          <c:extLst>
            <c:ext xmlns:c16="http://schemas.microsoft.com/office/drawing/2014/chart" uri="{C3380CC4-5D6E-409C-BE32-E72D297353CC}">
              <c16:uniqueId val="{00000005-E755-4061-835E-4BAF98321737}"/>
            </c:ext>
          </c:extLst>
        </c:ser>
        <c:dLbls>
          <c:showLegendKey val="0"/>
          <c:showVal val="0"/>
          <c:showCatName val="0"/>
          <c:showSerName val="0"/>
          <c:showPercent val="0"/>
          <c:showBubbleSize val="0"/>
        </c:dLbls>
        <c:smooth val="0"/>
        <c:axId val="1340672367"/>
        <c:axId val="1199289631"/>
        <c:extLst>
          <c:ext xmlns:c15="http://schemas.microsoft.com/office/drawing/2012/chart" uri="{02D57815-91ED-43cb-92C2-25804820EDAC}">
            <c15:filteredLineSeries>
              <c15:ser>
                <c:idx val="0"/>
                <c:order val="0"/>
                <c:tx>
                  <c:strRef>
                    <c:extLst>
                      <c:ext uri="{02D57815-91ED-43cb-92C2-25804820EDAC}">
                        <c15:formulaRef>
                          <c15:sqref>'Gráficos - Monografia'!$A$170</c15:sqref>
                        </c15:formulaRef>
                      </c:ext>
                    </c:extLst>
                    <c:strCache>
                      <c:ptCount val="1"/>
                      <c:pt idx="0">
                        <c:v>Receita Líquida</c:v>
                      </c:pt>
                    </c:strCache>
                  </c:strRef>
                </c:tx>
                <c:spPr>
                  <a:ln w="12700" cap="rnd">
                    <a:solidFill>
                      <a:schemeClr val="tx1"/>
                    </a:solidFill>
                    <a:round/>
                  </a:ln>
                  <a:effectLst/>
                </c:spPr>
                <c:marker>
                  <c:symbol val="none"/>
                </c:marker>
                <c:cat>
                  <c:numRef>
                    <c:extLst>
                      <c:ex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uri="{02D57815-91ED-43cb-92C2-25804820EDAC}">
                        <c15:fullRef>
                          <c15:sqref>'Gráficos - Monografia'!$B$170:$AQ$170</c15:sqref>
                        </c15:fullRef>
                        <c15:formulaRef>
                          <c15:sqref>'Gráficos - Monografia'!$B$170:$AG$170</c15:sqref>
                        </c15:formulaRef>
                      </c:ext>
                    </c:extLst>
                    <c:numCache>
                      <c:formatCode>#,##0</c:formatCode>
                      <c:ptCount val="32"/>
                      <c:pt idx="0">
                        <c:v>16390.386780871981</c:v>
                      </c:pt>
                      <c:pt idx="1">
                        <c:v>20323.351780034314</c:v>
                      </c:pt>
                      <c:pt idx="2">
                        <c:v>20721.904899899655</c:v>
                      </c:pt>
                      <c:pt idx="3">
                        <c:v>21323.319094521969</c:v>
                      </c:pt>
                      <c:pt idx="4">
                        <c:v>20553.244297288333</c:v>
                      </c:pt>
                      <c:pt idx="5">
                        <c:v>20781.192835271839</c:v>
                      </c:pt>
                      <c:pt idx="6">
                        <c:v>18961.693826721908</c:v>
                      </c:pt>
                      <c:pt idx="7">
                        <c:v>16224.666620542246</c:v>
                      </c:pt>
                      <c:pt idx="8">
                        <c:v>14451.927383099908</c:v>
                      </c:pt>
                      <c:pt idx="9">
                        <c:v>13007.420420359002</c:v>
                      </c:pt>
                      <c:pt idx="10">
                        <c:v>11798.203427187698</c:v>
                      </c:pt>
                      <c:pt idx="11">
                        <c:v>10570.288890776379</c:v>
                      </c:pt>
                      <c:pt idx="12">
                        <c:v>9331.6657179269641</c:v>
                      </c:pt>
                      <c:pt idx="13">
                        <c:v>8275.1517275991773</c:v>
                      </c:pt>
                      <c:pt idx="14">
                        <c:v>7515.5600073167261</c:v>
                      </c:pt>
                      <c:pt idx="15">
                        <c:v>6860.5560599817354</c:v>
                      </c:pt>
                      <c:pt idx="16">
                        <c:v>5568.6999780870374</c:v>
                      </c:pt>
                      <c:pt idx="17">
                        <c:v>5025.6528041598413</c:v>
                      </c:pt>
                      <c:pt idx="18">
                        <c:v>4549.1959123823272</c:v>
                      </c:pt>
                      <c:pt idx="19">
                        <c:v>4098.5154558692993</c:v>
                      </c:pt>
                      <c:pt idx="20">
                        <c:v>3749.8191320893975</c:v>
                      </c:pt>
                      <c:pt idx="21">
                        <c:v>3355.8032444751461</c:v>
                      </c:pt>
                      <c:pt idx="22">
                        <c:v>3132.2871289879899</c:v>
                      </c:pt>
                      <c:pt idx="23">
                        <c:v>2957.7798214273544</c:v>
                      </c:pt>
                      <c:pt idx="24">
                        <c:v>2810.6305580406165</c:v>
                      </c:pt>
                      <c:pt idx="25">
                        <c:v>2536.8832537542439</c:v>
                      </c:pt>
                      <c:pt idx="26">
                        <c:v>2382.4964886306102</c:v>
                      </c:pt>
                      <c:pt idx="27">
                        <c:v>2285.0377475453388</c:v>
                      </c:pt>
                      <c:pt idx="28">
                        <c:v>1476.5591882033877</c:v>
                      </c:pt>
                      <c:pt idx="29">
                        <c:v>0</c:v>
                      </c:pt>
                      <c:pt idx="30">
                        <c:v>0</c:v>
                      </c:pt>
                      <c:pt idx="31">
                        <c:v>0</c:v>
                      </c:pt>
                    </c:numCache>
                  </c:numRef>
                </c:val>
                <c:smooth val="0"/>
                <c:extLst>
                  <c:ext xmlns:c16="http://schemas.microsoft.com/office/drawing/2014/chart" uri="{C3380CC4-5D6E-409C-BE32-E72D297353CC}">
                    <c16:uniqueId val="{00000000-E755-4061-835E-4BAF9832173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'Gráficos - Monografia'!$A$171</c15:sqref>
                        </c15:formulaRef>
                      </c:ext>
                    </c:extLst>
                    <c:strCache>
                      <c:ptCount val="1"/>
                      <c:pt idx="0">
                        <c:v>Custos</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Monografia'!$B$171:$AQ$171</c15:sqref>
                        </c15:fullRef>
                        <c15:formulaRef>
                          <c15:sqref>'Gráficos - Monografia'!$B$171:$AG$171</c15:sqref>
                        </c15:formulaRef>
                      </c:ext>
                    </c:extLst>
                    <c:numCache>
                      <c:formatCode>#,##0</c:formatCode>
                      <c:ptCount val="32"/>
                      <c:pt idx="0">
                        <c:v>-4812.1486665140801</c:v>
                      </c:pt>
                      <c:pt idx="1">
                        <c:v>-5929.6246703844481</c:v>
                      </c:pt>
                      <c:pt idx="2">
                        <c:v>-6613.9573832003116</c:v>
                      </c:pt>
                      <c:pt idx="3">
                        <c:v>-7232.5122764203661</c:v>
                      </c:pt>
                      <c:pt idx="4">
                        <c:v>-7525.6889450110584</c:v>
                      </c:pt>
                      <c:pt idx="5">
                        <c:v>-7715.4924389519192</c:v>
                      </c:pt>
                      <c:pt idx="6">
                        <c:v>-6977.1184605563749</c:v>
                      </c:pt>
                      <c:pt idx="7">
                        <c:v>-5803.3502774851249</c:v>
                      </c:pt>
                      <c:pt idx="8">
                        <c:v>-5015.0832489032009</c:v>
                      </c:pt>
                      <c:pt idx="9">
                        <c:v>-4606.0943976703329</c:v>
                      </c:pt>
                      <c:pt idx="10">
                        <c:v>-4062.5871657171369</c:v>
                      </c:pt>
                      <c:pt idx="11">
                        <c:v>-3560.9600994159318</c:v>
                      </c:pt>
                      <c:pt idx="12">
                        <c:v>-3083.651457799438</c:v>
                      </c:pt>
                      <c:pt idx="13">
                        <c:v>-2702.4183428097294</c:v>
                      </c:pt>
                      <c:pt idx="14">
                        <c:v>-2387.0742940274672</c:v>
                      </c:pt>
                      <c:pt idx="15">
                        <c:v>-2042.705787543834</c:v>
                      </c:pt>
                      <c:pt idx="16">
                        <c:v>-1686.2910214034544</c:v>
                      </c:pt>
                      <c:pt idx="17">
                        <c:v>-1506.49614636927</c:v>
                      </c:pt>
                      <c:pt idx="18">
                        <c:v>-1346.8391855099601</c:v>
                      </c:pt>
                      <c:pt idx="19">
                        <c:v>-1209.3197947711819</c:v>
                      </c:pt>
                      <c:pt idx="20">
                        <c:v>-1089.2741624015898</c:v>
                      </c:pt>
                      <c:pt idx="21">
                        <c:v>-988.11392484361261</c:v>
                      </c:pt>
                      <c:pt idx="22">
                        <c:v>-937.44445955153651</c:v>
                      </c:pt>
                      <c:pt idx="23">
                        <c:v>-910.40617220954346</c:v>
                      </c:pt>
                      <c:pt idx="24">
                        <c:v>-875.55178020418407</c:v>
                      </c:pt>
                      <c:pt idx="25">
                        <c:v>-856.00441010669908</c:v>
                      </c:pt>
                      <c:pt idx="26">
                        <c:v>-927.0743376356188</c:v>
                      </c:pt>
                      <c:pt idx="27">
                        <c:v>-632.27801955430641</c:v>
                      </c:pt>
                      <c:pt idx="28">
                        <c:v>-1.9040216479907539</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1-E755-4061-835E-4BAF9832173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'Gráficos - Monografia'!$A$174</c15:sqref>
                        </c15:formulaRef>
                      </c:ext>
                    </c:extLst>
                    <c:strCache>
                      <c:ptCount val="1"/>
                      <c:pt idx="0">
                        <c:v>Resultado Financeiro</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Monografia'!$B$174:$AQ$174</c15:sqref>
                        </c15:fullRef>
                        <c15:formulaRef>
                          <c15:sqref>'Gráficos - Monografia'!$B$174:$AG$174</c15:sqref>
                        </c15:formulaRef>
                      </c:ext>
                    </c:extLst>
                    <c:numCache>
                      <c:formatCode>#,##0</c:formatCode>
                      <c:ptCount val="32"/>
                      <c:pt idx="0">
                        <c:v>-311.56733934736405</c:v>
                      </c:pt>
                      <c:pt idx="1">
                        <c:v>222.26858108767311</c:v>
                      </c:pt>
                      <c:pt idx="2">
                        <c:v>124.52827915828009</c:v>
                      </c:pt>
                      <c:pt idx="3">
                        <c:v>167.51869219870528</c:v>
                      </c:pt>
                      <c:pt idx="4">
                        <c:v>169.43670827938641</c:v>
                      </c:pt>
                      <c:pt idx="5">
                        <c:v>171.92155362573834</c:v>
                      </c:pt>
                      <c:pt idx="6">
                        <c:v>173.82827288767115</c:v>
                      </c:pt>
                      <c:pt idx="7">
                        <c:v>155.84240972997529</c:v>
                      </c:pt>
                      <c:pt idx="8">
                        <c:v>133.34732468085258</c:v>
                      </c:pt>
                      <c:pt idx="9">
                        <c:v>118.77753164914797</c:v>
                      </c:pt>
                      <c:pt idx="10">
                        <c:v>123.94926549949027</c:v>
                      </c:pt>
                      <c:pt idx="11">
                        <c:v>112.42649209097479</c:v>
                      </c:pt>
                      <c:pt idx="12">
                        <c:v>100.72554755579984</c:v>
                      </c:pt>
                      <c:pt idx="13">
                        <c:v>88.9225591427371</c:v>
                      </c:pt>
                      <c:pt idx="14">
                        <c:v>78.854910918951191</c:v>
                      </c:pt>
                      <c:pt idx="15">
                        <c:v>71.616670532629755</c:v>
                      </c:pt>
                      <c:pt idx="16">
                        <c:v>65.375059548459205</c:v>
                      </c:pt>
                      <c:pt idx="17">
                        <c:v>53.064808375884382</c:v>
                      </c:pt>
                      <c:pt idx="18">
                        <c:v>47.890046880938087</c:v>
                      </c:pt>
                      <c:pt idx="19">
                        <c:v>43.349832152000999</c:v>
                      </c:pt>
                      <c:pt idx="20">
                        <c:v>33.414452254262372</c:v>
                      </c:pt>
                      <c:pt idx="21">
                        <c:v>30.571594446932473</c:v>
                      </c:pt>
                      <c:pt idx="22">
                        <c:v>27.359254465329464</c:v>
                      </c:pt>
                      <c:pt idx="23">
                        <c:v>25.53696816449132</c:v>
                      </c:pt>
                      <c:pt idx="24">
                        <c:v>24.114241775072806</c:v>
                      </c:pt>
                      <c:pt idx="25">
                        <c:v>22.914560551803444</c:v>
                      </c:pt>
                      <c:pt idx="26">
                        <c:v>20.682748490265105</c:v>
                      </c:pt>
                      <c:pt idx="27">
                        <c:v>19.424061229606934</c:v>
                      </c:pt>
                      <c:pt idx="28">
                        <c:v>18.62949781126208</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3-E755-4061-835E-4BAF9832173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'Gráficos - Monografia'!$A$176</c15:sqref>
                        </c15:formulaRef>
                      </c:ext>
                    </c:extLst>
                    <c:strCache>
                      <c:ptCount val="1"/>
                      <c:pt idx="0">
                        <c:v>Lucro Líquido</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Monografia'!$B$176:$AQ$176</c15:sqref>
                        </c15:fullRef>
                        <c15:formulaRef>
                          <c15:sqref>'Gráficos - Monografia'!$B$176:$AG$176</c15:sqref>
                        </c15:formulaRef>
                      </c:ext>
                    </c:extLst>
                    <c:numCache>
                      <c:formatCode>#,##0</c:formatCode>
                      <c:ptCount val="32"/>
                      <c:pt idx="0">
                        <c:v>6520.0055696372056</c:v>
                      </c:pt>
                      <c:pt idx="1">
                        <c:v>8510.7613755547081</c:v>
                      </c:pt>
                      <c:pt idx="2">
                        <c:v>8225.4107674987281</c:v>
                      </c:pt>
                      <c:pt idx="3">
                        <c:v>8204.6165692923423</c:v>
                      </c:pt>
                      <c:pt idx="4">
                        <c:v>7500.7190516192586</c:v>
                      </c:pt>
                      <c:pt idx="5">
                        <c:v>7500.7508743293893</c:v>
                      </c:pt>
                      <c:pt idx="6">
                        <c:v>6811.067038919794</c:v>
                      </c:pt>
                      <c:pt idx="7">
                        <c:v>5811.8059893464188</c:v>
                      </c:pt>
                      <c:pt idx="8">
                        <c:v>5167.3346998747584</c:v>
                      </c:pt>
                      <c:pt idx="9">
                        <c:v>4485.6893942191809</c:v>
                      </c:pt>
                      <c:pt idx="10">
                        <c:v>4054.6823771434874</c:v>
                      </c:pt>
                      <c:pt idx="11">
                        <c:v>3572.3946731558535</c:v>
                      </c:pt>
                      <c:pt idx="12">
                        <c:v>3066.3731823873022</c:v>
                      </c:pt>
                      <c:pt idx="13">
                        <c:v>2611.8347467161207</c:v>
                      </c:pt>
                      <c:pt idx="14">
                        <c:v>2372.9058730857755</c:v>
                      </c:pt>
                      <c:pt idx="15">
                        <c:v>2255.834762794012</c:v>
                      </c:pt>
                      <c:pt idx="16">
                        <c:v>1817.2054115937976</c:v>
                      </c:pt>
                      <c:pt idx="17">
                        <c:v>1646.2105068155663</c:v>
                      </c:pt>
                      <c:pt idx="18">
                        <c:v>1501.1567464338466</c:v>
                      </c:pt>
                      <c:pt idx="19">
                        <c:v>1355.2744013596052</c:v>
                      </c:pt>
                      <c:pt idx="20">
                        <c:v>1247.1707284282311</c:v>
                      </c:pt>
                      <c:pt idx="21">
                        <c:v>1107.7885035036006</c:v>
                      </c:pt>
                      <c:pt idx="22">
                        <c:v>1023.2315898105385</c:v>
                      </c:pt>
                      <c:pt idx="23">
                        <c:v>949.40342400270583</c:v>
                      </c:pt>
                      <c:pt idx="24">
                        <c:v>895.18096922707298</c:v>
                      </c:pt>
                      <c:pt idx="25">
                        <c:v>765.37021234172209</c:v>
                      </c:pt>
                      <c:pt idx="26">
                        <c:v>636.95153465195222</c:v>
                      </c:pt>
                      <c:pt idx="27">
                        <c:v>780.16033152553234</c:v>
                      </c:pt>
                      <c:pt idx="28">
                        <c:v>776.53903507200141</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4-E755-4061-835E-4BAF98321737}"/>
                  </c:ext>
                </c:extLst>
              </c15:ser>
            </c15:filteredLineSeries>
          </c:ext>
        </c:extLst>
      </c:lineChart>
      <c:catAx>
        <c:axId val="134067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199289631"/>
        <c:crosses val="autoZero"/>
        <c:auto val="1"/>
        <c:lblAlgn val="ctr"/>
        <c:lblOffset val="100"/>
        <c:noMultiLvlLbl val="0"/>
      </c:catAx>
      <c:valAx>
        <c:axId val="11992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Milhões de Reai (R$ mi)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340672367"/>
        <c:crosses val="autoZero"/>
        <c:crossBetween val="between"/>
      </c:valAx>
      <c:spPr>
        <a:noFill/>
        <a:ln>
          <a:solidFill>
            <a:schemeClr val="bg1">
              <a:lumMod val="85000"/>
            </a:schemeClr>
          </a:solidFill>
        </a:ln>
        <a:effectLst/>
      </c:spPr>
    </c:plotArea>
    <c:legend>
      <c:legendPos val="b"/>
      <c:layout>
        <c:manualLayout>
          <c:xMode val="edge"/>
          <c:yMode val="edge"/>
          <c:x val="0.18775146633069459"/>
          <c:y val="0.92171151166128507"/>
          <c:w val="0.68552946008369586"/>
          <c:h val="7.49197222292456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15524846173242"/>
          <c:y val="4.6464644247292887E-2"/>
          <c:w val="0.86094944281708807"/>
          <c:h val="0.6970816178915954"/>
        </c:manualLayout>
      </c:layout>
      <c:lineChart>
        <c:grouping val="standard"/>
        <c:varyColors val="0"/>
        <c:ser>
          <c:idx val="3"/>
          <c:order val="3"/>
          <c:tx>
            <c:strRef>
              <c:f>'Gráficos - Monografia'!$A$174</c:f>
              <c:strCache>
                <c:ptCount val="1"/>
                <c:pt idx="0">
                  <c:v>Resultado Financeiro</c:v>
                </c:pt>
              </c:strCache>
              <c:extLst xmlns:c15="http://schemas.microsoft.com/office/drawing/2012/chart"/>
            </c:strRef>
          </c:tx>
          <c:spPr>
            <a:ln w="12700" cap="rnd">
              <a:solidFill>
                <a:schemeClr val="bg1">
                  <a:lumMod val="65000"/>
                </a:schemeClr>
              </a:solidFill>
              <a:round/>
            </a:ln>
            <a:effectLst/>
          </c:spPr>
          <c:marker>
            <c:symbol val="none"/>
          </c:marker>
          <c:cat>
            <c:numRef>
              <c:extLst>
                <c:ext xmlns:c15="http://schemas.microsoft.com/office/drawing/2012/chart" uri="{02D57815-91ED-43cb-92C2-25804820EDAC}">
                  <c15:fullRef>
                    <c15:sqref>'Gráficos - Monografia'!$B$169:$AQ$169</c15:sqref>
                  </c15:fullRef>
                </c:ext>
              </c:extLst>
              <c:f>'Gráficos - Monografia'!$B$169:$AG$169</c:f>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Monografia'!$B$174:$AQ$174</c15:sqref>
                  </c15:fullRef>
                </c:ext>
              </c:extLst>
              <c:f>'Gráficos - Monografia'!$B$174:$AG$174</c:f>
              <c:numCache>
                <c:formatCode>#,##0</c:formatCode>
                <c:ptCount val="32"/>
                <c:pt idx="0">
                  <c:v>-311.56733934736405</c:v>
                </c:pt>
                <c:pt idx="1">
                  <c:v>222.26858108767311</c:v>
                </c:pt>
                <c:pt idx="2">
                  <c:v>124.52827915828009</c:v>
                </c:pt>
                <c:pt idx="3">
                  <c:v>167.51869219870528</c:v>
                </c:pt>
                <c:pt idx="4">
                  <c:v>169.43670827938641</c:v>
                </c:pt>
                <c:pt idx="5">
                  <c:v>171.92155362573834</c:v>
                </c:pt>
                <c:pt idx="6">
                  <c:v>173.82827288767115</c:v>
                </c:pt>
                <c:pt idx="7">
                  <c:v>155.84240972997529</c:v>
                </c:pt>
                <c:pt idx="8">
                  <c:v>133.34732468085258</c:v>
                </c:pt>
                <c:pt idx="9">
                  <c:v>118.77753164914797</c:v>
                </c:pt>
                <c:pt idx="10">
                  <c:v>123.94926549949027</c:v>
                </c:pt>
                <c:pt idx="11">
                  <c:v>112.42649209097479</c:v>
                </c:pt>
                <c:pt idx="12">
                  <c:v>100.72554755579984</c:v>
                </c:pt>
                <c:pt idx="13">
                  <c:v>88.9225591427371</c:v>
                </c:pt>
                <c:pt idx="14">
                  <c:v>78.854910918951191</c:v>
                </c:pt>
                <c:pt idx="15">
                  <c:v>71.616670532629755</c:v>
                </c:pt>
                <c:pt idx="16">
                  <c:v>65.375059548459205</c:v>
                </c:pt>
                <c:pt idx="17">
                  <c:v>53.064808375884382</c:v>
                </c:pt>
                <c:pt idx="18">
                  <c:v>47.890046880938087</c:v>
                </c:pt>
                <c:pt idx="19">
                  <c:v>43.349832152000999</c:v>
                </c:pt>
                <c:pt idx="20">
                  <c:v>33.414452254262372</c:v>
                </c:pt>
                <c:pt idx="21">
                  <c:v>30.571594446932473</c:v>
                </c:pt>
                <c:pt idx="22">
                  <c:v>27.359254465329464</c:v>
                </c:pt>
                <c:pt idx="23">
                  <c:v>25.53696816449132</c:v>
                </c:pt>
                <c:pt idx="24">
                  <c:v>24.114241775072806</c:v>
                </c:pt>
                <c:pt idx="25">
                  <c:v>22.914560551803444</c:v>
                </c:pt>
                <c:pt idx="26">
                  <c:v>20.682748490265105</c:v>
                </c:pt>
                <c:pt idx="27">
                  <c:v>19.424061229606934</c:v>
                </c:pt>
                <c:pt idx="28">
                  <c:v>18.62949781126208</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4-93DA-4C47-AE18-02E99400F6AC}"/>
            </c:ext>
          </c:extLst>
        </c:ser>
        <c:ser>
          <c:idx val="5"/>
          <c:order val="5"/>
          <c:tx>
            <c:strRef>
              <c:f>'Gráficos - Monografia'!$A$183</c:f>
              <c:strCache>
                <c:ptCount val="1"/>
                <c:pt idx="0">
                  <c:v>Variação da Dívida Líquida</c:v>
                </c:pt>
              </c:strCache>
            </c:strRef>
          </c:tx>
          <c:spPr>
            <a:ln w="12700" cap="rnd">
              <a:solidFill>
                <a:schemeClr val="tx1"/>
              </a:solidFill>
              <a:round/>
            </a:ln>
            <a:effectLst/>
          </c:spPr>
          <c:marker>
            <c:symbol val="none"/>
          </c:marker>
          <c:cat>
            <c:strLit>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'Gráficos - Monografia'!$B$183:$AQ$183</c15:sqref>
                  </c15:fullRef>
                </c:ext>
              </c:extLst>
              <c:f>'Gráficos - Monografia'!$B$183:$AG$183</c:f>
              <c:numCache>
                <c:formatCode>#,##0</c:formatCode>
                <c:ptCount val="32"/>
                <c:pt idx="0">
                  <c:v>-2927.860289411361</c:v>
                </c:pt>
                <c:pt idx="1">
                  <c:v>-2358.6130355949017</c:v>
                </c:pt>
                <c:pt idx="2">
                  <c:v>-3249.675955458556</c:v>
                </c:pt>
                <c:pt idx="3">
                  <c:v>-905.21040074048778</c:v>
                </c:pt>
                <c:pt idx="4">
                  <c:v>-756.65530500743444</c:v>
                </c:pt>
                <c:pt idx="5">
                  <c:v>-57.008682623194545</c:v>
                </c:pt>
                <c:pt idx="6">
                  <c:v>455.04675059220978</c:v>
                </c:pt>
                <c:pt idx="7">
                  <c:v>684.51553455207568</c:v>
                </c:pt>
                <c:pt idx="8">
                  <c:v>443.35238758296373</c:v>
                </c:pt>
                <c:pt idx="9">
                  <c:v>361.26329089177534</c:v>
                </c:pt>
                <c:pt idx="10">
                  <c:v>302.41855638163361</c:v>
                </c:pt>
                <c:pt idx="11">
                  <c:v>307.09470968286951</c:v>
                </c:pt>
                <c:pt idx="12">
                  <c:v>309.77288108693756</c:v>
                </c:pt>
                <c:pt idx="13">
                  <c:v>264.2283705540558</c:v>
                </c:pt>
                <c:pt idx="14">
                  <c:v>189.96973478251289</c:v>
                </c:pt>
                <c:pt idx="15">
                  <c:v>163.81290479372024</c:v>
                </c:pt>
                <c:pt idx="16">
                  <c:v>323.08614049065204</c:v>
                </c:pt>
                <c:pt idx="17">
                  <c:v>135.81312809331598</c:v>
                </c:pt>
                <c:pt idx="18">
                  <c:v>119.15926273211358</c:v>
                </c:pt>
                <c:pt idx="19">
                  <c:v>112.71271725237602</c:v>
                </c:pt>
                <c:pt idx="20">
                  <c:v>87.207043441012843</c:v>
                </c:pt>
                <c:pt idx="21">
                  <c:v>98.541218488193522</c:v>
                </c:pt>
                <c:pt idx="22">
                  <c:v>55.90015799925186</c:v>
                </c:pt>
                <c:pt idx="23">
                  <c:v>43.643323182323911</c:v>
                </c:pt>
                <c:pt idx="24">
                  <c:v>36.801225964688228</c:v>
                </c:pt>
                <c:pt idx="25">
                  <c:v>68.462703586833186</c:v>
                </c:pt>
                <c:pt idx="26">
                  <c:v>38.611285564778086</c:v>
                </c:pt>
                <c:pt idx="27">
                  <c:v>24.373898111109156</c:v>
                </c:pt>
                <c:pt idx="28">
                  <c:v>202.19606585288761</c:v>
                </c:pt>
                <c:pt idx="29">
                  <c:v>0</c:v>
                </c:pt>
                <c:pt idx="30">
                  <c:v>0</c:v>
                </c:pt>
                <c:pt idx="31">
                  <c:v>0</c:v>
                </c:pt>
              </c:numCache>
            </c:numRef>
          </c:val>
          <c:smooth val="0"/>
          <c:extLst>
            <c:ext xmlns:c16="http://schemas.microsoft.com/office/drawing/2014/chart" uri="{C3380CC4-5D6E-409C-BE32-E72D297353CC}">
              <c16:uniqueId val="{00000006-93DA-4C47-AE18-02E99400F6AC}"/>
            </c:ext>
          </c:extLst>
        </c:ser>
        <c:dLbls>
          <c:showLegendKey val="0"/>
          <c:showVal val="0"/>
          <c:showCatName val="0"/>
          <c:showSerName val="0"/>
          <c:showPercent val="0"/>
          <c:showBubbleSize val="0"/>
        </c:dLbls>
        <c:smooth val="0"/>
        <c:axId val="1340672367"/>
        <c:axId val="1199289631"/>
        <c:extLst>
          <c:ext xmlns:c15="http://schemas.microsoft.com/office/drawing/2012/chart" uri="{02D57815-91ED-43cb-92C2-25804820EDAC}">
            <c15:filteredLineSeries>
              <c15:ser>
                <c:idx val="0"/>
                <c:order val="0"/>
                <c:tx>
                  <c:strRef>
                    <c:extLst>
                      <c:ext uri="{02D57815-91ED-43cb-92C2-25804820EDAC}">
                        <c15:formulaRef>
                          <c15:sqref>'Gráficos - Monografia'!$A$170</c15:sqref>
                        </c15:formulaRef>
                      </c:ext>
                    </c:extLst>
                    <c:strCache>
                      <c:ptCount val="1"/>
                      <c:pt idx="0">
                        <c:v>Receita Líquida</c:v>
                      </c:pt>
                    </c:strCache>
                  </c:strRef>
                </c:tx>
                <c:spPr>
                  <a:ln w="12700" cap="rnd">
                    <a:solidFill>
                      <a:schemeClr val="tx1"/>
                    </a:solidFill>
                    <a:round/>
                  </a:ln>
                  <a:effectLst/>
                </c:spPr>
                <c:marker>
                  <c:symbol val="none"/>
                </c:marker>
                <c:cat>
                  <c:numRef>
                    <c:extLst>
                      <c:ex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uri="{02D57815-91ED-43cb-92C2-25804820EDAC}">
                        <c15:fullRef>
                          <c15:sqref>'Gráficos - Monografia'!$B$170:$AQ$170</c15:sqref>
                        </c15:fullRef>
                        <c15:formulaRef>
                          <c15:sqref>'Gráficos - Monografia'!$B$170:$AG$170</c15:sqref>
                        </c15:formulaRef>
                      </c:ext>
                    </c:extLst>
                    <c:numCache>
                      <c:formatCode>#,##0</c:formatCode>
                      <c:ptCount val="32"/>
                      <c:pt idx="0">
                        <c:v>16390.386780871981</c:v>
                      </c:pt>
                      <c:pt idx="1">
                        <c:v>20323.351780034314</c:v>
                      </c:pt>
                      <c:pt idx="2">
                        <c:v>20721.904899899655</c:v>
                      </c:pt>
                      <c:pt idx="3">
                        <c:v>21323.319094521969</c:v>
                      </c:pt>
                      <c:pt idx="4">
                        <c:v>20553.244297288333</c:v>
                      </c:pt>
                      <c:pt idx="5">
                        <c:v>20781.192835271839</c:v>
                      </c:pt>
                      <c:pt idx="6">
                        <c:v>18961.693826721908</c:v>
                      </c:pt>
                      <c:pt idx="7">
                        <c:v>16224.666620542246</c:v>
                      </c:pt>
                      <c:pt idx="8">
                        <c:v>14451.927383099908</c:v>
                      </c:pt>
                      <c:pt idx="9">
                        <c:v>13007.420420359002</c:v>
                      </c:pt>
                      <c:pt idx="10">
                        <c:v>11798.203427187698</c:v>
                      </c:pt>
                      <c:pt idx="11">
                        <c:v>10570.288890776379</c:v>
                      </c:pt>
                      <c:pt idx="12">
                        <c:v>9331.6657179269641</c:v>
                      </c:pt>
                      <c:pt idx="13">
                        <c:v>8275.1517275991773</c:v>
                      </c:pt>
                      <c:pt idx="14">
                        <c:v>7515.5600073167261</c:v>
                      </c:pt>
                      <c:pt idx="15">
                        <c:v>6860.5560599817354</c:v>
                      </c:pt>
                      <c:pt idx="16">
                        <c:v>5568.6999780870374</c:v>
                      </c:pt>
                      <c:pt idx="17">
                        <c:v>5025.6528041598413</c:v>
                      </c:pt>
                      <c:pt idx="18">
                        <c:v>4549.1959123823272</c:v>
                      </c:pt>
                      <c:pt idx="19">
                        <c:v>4098.5154558692993</c:v>
                      </c:pt>
                      <c:pt idx="20">
                        <c:v>3749.8191320893975</c:v>
                      </c:pt>
                      <c:pt idx="21">
                        <c:v>3355.8032444751461</c:v>
                      </c:pt>
                      <c:pt idx="22">
                        <c:v>3132.2871289879899</c:v>
                      </c:pt>
                      <c:pt idx="23">
                        <c:v>2957.7798214273544</c:v>
                      </c:pt>
                      <c:pt idx="24">
                        <c:v>2810.6305580406165</c:v>
                      </c:pt>
                      <c:pt idx="25">
                        <c:v>2536.8832537542439</c:v>
                      </c:pt>
                      <c:pt idx="26">
                        <c:v>2382.4964886306102</c:v>
                      </c:pt>
                      <c:pt idx="27">
                        <c:v>2285.0377475453388</c:v>
                      </c:pt>
                      <c:pt idx="28">
                        <c:v>1476.5591882033877</c:v>
                      </c:pt>
                      <c:pt idx="29">
                        <c:v>0</c:v>
                      </c:pt>
                      <c:pt idx="30">
                        <c:v>0</c:v>
                      </c:pt>
                      <c:pt idx="31">
                        <c:v>0</c:v>
                      </c:pt>
                    </c:numCache>
                  </c:numRef>
                </c:val>
                <c:smooth val="0"/>
                <c:extLst>
                  <c:ext xmlns:c16="http://schemas.microsoft.com/office/drawing/2014/chart" uri="{C3380CC4-5D6E-409C-BE32-E72D297353CC}">
                    <c16:uniqueId val="{00000002-93DA-4C47-AE18-02E99400F6A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'Gráficos - Monografia'!$A$171</c15:sqref>
                        </c15:formulaRef>
                      </c:ext>
                    </c:extLst>
                    <c:strCache>
                      <c:ptCount val="1"/>
                      <c:pt idx="0">
                        <c:v>Custos</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Monografia'!$B$171:$AQ$171</c15:sqref>
                        </c15:fullRef>
                        <c15:formulaRef>
                          <c15:sqref>'Gráficos - Monografia'!$B$171:$AG$171</c15:sqref>
                        </c15:formulaRef>
                      </c:ext>
                    </c:extLst>
                    <c:numCache>
                      <c:formatCode>#,##0</c:formatCode>
                      <c:ptCount val="32"/>
                      <c:pt idx="0">
                        <c:v>-4812.1486665140801</c:v>
                      </c:pt>
                      <c:pt idx="1">
                        <c:v>-5929.6246703844481</c:v>
                      </c:pt>
                      <c:pt idx="2">
                        <c:v>-6613.9573832003116</c:v>
                      </c:pt>
                      <c:pt idx="3">
                        <c:v>-7232.5122764203661</c:v>
                      </c:pt>
                      <c:pt idx="4">
                        <c:v>-7525.6889450110584</c:v>
                      </c:pt>
                      <c:pt idx="5">
                        <c:v>-7715.4924389519192</c:v>
                      </c:pt>
                      <c:pt idx="6">
                        <c:v>-6977.1184605563749</c:v>
                      </c:pt>
                      <c:pt idx="7">
                        <c:v>-5803.3502774851249</c:v>
                      </c:pt>
                      <c:pt idx="8">
                        <c:v>-5015.0832489032009</c:v>
                      </c:pt>
                      <c:pt idx="9">
                        <c:v>-4606.0943976703329</c:v>
                      </c:pt>
                      <c:pt idx="10">
                        <c:v>-4062.5871657171369</c:v>
                      </c:pt>
                      <c:pt idx="11">
                        <c:v>-3560.9600994159318</c:v>
                      </c:pt>
                      <c:pt idx="12">
                        <c:v>-3083.651457799438</c:v>
                      </c:pt>
                      <c:pt idx="13">
                        <c:v>-2702.4183428097294</c:v>
                      </c:pt>
                      <c:pt idx="14">
                        <c:v>-2387.0742940274672</c:v>
                      </c:pt>
                      <c:pt idx="15">
                        <c:v>-2042.705787543834</c:v>
                      </c:pt>
                      <c:pt idx="16">
                        <c:v>-1686.2910214034544</c:v>
                      </c:pt>
                      <c:pt idx="17">
                        <c:v>-1506.49614636927</c:v>
                      </c:pt>
                      <c:pt idx="18">
                        <c:v>-1346.8391855099601</c:v>
                      </c:pt>
                      <c:pt idx="19">
                        <c:v>-1209.3197947711819</c:v>
                      </c:pt>
                      <c:pt idx="20">
                        <c:v>-1089.2741624015898</c:v>
                      </c:pt>
                      <c:pt idx="21">
                        <c:v>-988.11392484361261</c:v>
                      </c:pt>
                      <c:pt idx="22">
                        <c:v>-937.44445955153651</c:v>
                      </c:pt>
                      <c:pt idx="23">
                        <c:v>-910.40617220954346</c:v>
                      </c:pt>
                      <c:pt idx="24">
                        <c:v>-875.55178020418407</c:v>
                      </c:pt>
                      <c:pt idx="25">
                        <c:v>-856.00441010669908</c:v>
                      </c:pt>
                      <c:pt idx="26">
                        <c:v>-927.0743376356188</c:v>
                      </c:pt>
                      <c:pt idx="27">
                        <c:v>-632.27801955430641</c:v>
                      </c:pt>
                      <c:pt idx="28">
                        <c:v>-1.9040216479907539</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3-93DA-4C47-AE18-02E99400F6A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'Gráficos - Monografia'!$A$172</c15:sqref>
                        </c15:formulaRef>
                      </c:ext>
                    </c:extLst>
                    <c:strCache>
                      <c:ptCount val="1"/>
                      <c:pt idx="0">
                        <c:v>Despesas</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Monografia'!$B$172:$AQ$172</c15:sqref>
                        </c15:fullRef>
                        <c15:formulaRef>
                          <c15:sqref>'Gráficos - Monografia'!$B$172:$AG$172</c15:sqref>
                        </c15:formulaRef>
                      </c:ext>
                    </c:extLst>
                    <c:numCache>
                      <c:formatCode>#,##0</c:formatCode>
                      <c:ptCount val="32"/>
                      <c:pt idx="0">
                        <c:v>-781.1641074364461</c:v>
                      </c:pt>
                      <c:pt idx="1">
                        <c:v>-968.60880500361225</c:v>
                      </c:pt>
                      <c:pt idx="2">
                        <c:v>-1002.6853817559345</c:v>
                      </c:pt>
                      <c:pt idx="3">
                        <c:v>-1037.7793701173921</c:v>
                      </c:pt>
                      <c:pt idx="4">
                        <c:v>-1071.4625776831185</c:v>
                      </c:pt>
                      <c:pt idx="5">
                        <c:v>-1103.6064550136125</c:v>
                      </c:pt>
                      <c:pt idx="6">
                        <c:v>-1136.7146486640211</c:v>
                      </c:pt>
                      <c:pt idx="7">
                        <c:v>-1170.8160881239421</c:v>
                      </c:pt>
                      <c:pt idx="8">
                        <c:v>-1205.9405707676606</c:v>
                      </c:pt>
                      <c:pt idx="9">
                        <c:v>-1242.1187878906908</c:v>
                      </c:pt>
                      <c:pt idx="10">
                        <c:v>-1279.3823515274119</c:v>
                      </c:pt>
                      <c:pt idx="11">
                        <c:v>-1317.7638220732347</c:v>
                      </c:pt>
                      <c:pt idx="12">
                        <c:v>-1357.2967367354322</c:v>
                      </c:pt>
                      <c:pt idx="13">
                        <c:v>-1398.0156388374955</c:v>
                      </c:pt>
                      <c:pt idx="14">
                        <c:v>-1333.8309869013071</c:v>
                      </c:pt>
                      <c:pt idx="15">
                        <c:v>-1217.5835534901532</c:v>
                      </c:pt>
                      <c:pt idx="16">
                        <c:v>-988.31019648541508</c:v>
                      </c:pt>
                      <c:pt idx="17">
                        <c:v>-891.93239533312453</c:v>
                      </c:pt>
                      <c:pt idx="18">
                        <c:v>-807.37276630257566</c:v>
                      </c:pt>
                      <c:pt idx="19">
                        <c:v>-727.38783404168305</c:v>
                      </c:pt>
                      <c:pt idx="20">
                        <c:v>-665.50263038108983</c:v>
                      </c:pt>
                      <c:pt idx="21">
                        <c:v>-595.57429507145696</c:v>
                      </c:pt>
                      <c:pt idx="22">
                        <c:v>-555.90556504756842</c:v>
                      </c:pt>
                      <c:pt idx="23">
                        <c:v>-524.93471869167661</c:v>
                      </c:pt>
                      <c:pt idx="24">
                        <c:v>-498.81926661440571</c:v>
                      </c:pt>
                      <c:pt idx="25">
                        <c:v>-450.23570974274315</c:v>
                      </c:pt>
                      <c:pt idx="26">
                        <c:v>-422.83577532815809</c:v>
                      </c:pt>
                      <c:pt idx="27">
                        <c:v>-405.53919481022302</c:v>
                      </c:pt>
                      <c:pt idx="28">
                        <c:v>-262.05371220536358</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0-93DA-4C47-AE18-02E99400F6A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'Gráficos - Monografia'!$A$176</c15:sqref>
                        </c15:formulaRef>
                      </c:ext>
                    </c:extLst>
                    <c:strCache>
                      <c:ptCount val="1"/>
                      <c:pt idx="0">
                        <c:v>Lucro Líquido</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Monografia'!$B$176:$AQ$176</c15:sqref>
                        </c15:fullRef>
                        <c15:formulaRef>
                          <c15:sqref>'Gráficos - Monografia'!$B$176:$AG$176</c15:sqref>
                        </c15:formulaRef>
                      </c:ext>
                    </c:extLst>
                    <c:numCache>
                      <c:formatCode>#,##0</c:formatCode>
                      <c:ptCount val="32"/>
                      <c:pt idx="0">
                        <c:v>6520.0055696372056</c:v>
                      </c:pt>
                      <c:pt idx="1">
                        <c:v>8510.7613755547081</c:v>
                      </c:pt>
                      <c:pt idx="2">
                        <c:v>8225.4107674987281</c:v>
                      </c:pt>
                      <c:pt idx="3">
                        <c:v>8204.6165692923423</c:v>
                      </c:pt>
                      <c:pt idx="4">
                        <c:v>7500.7190516192586</c:v>
                      </c:pt>
                      <c:pt idx="5">
                        <c:v>7500.7508743293893</c:v>
                      </c:pt>
                      <c:pt idx="6">
                        <c:v>6811.067038919794</c:v>
                      </c:pt>
                      <c:pt idx="7">
                        <c:v>5811.8059893464188</c:v>
                      </c:pt>
                      <c:pt idx="8">
                        <c:v>5167.3346998747584</c:v>
                      </c:pt>
                      <c:pt idx="9">
                        <c:v>4485.6893942191809</c:v>
                      </c:pt>
                      <c:pt idx="10">
                        <c:v>4054.6823771434874</c:v>
                      </c:pt>
                      <c:pt idx="11">
                        <c:v>3572.3946731558535</c:v>
                      </c:pt>
                      <c:pt idx="12">
                        <c:v>3066.3731823873022</c:v>
                      </c:pt>
                      <c:pt idx="13">
                        <c:v>2611.8347467161207</c:v>
                      </c:pt>
                      <c:pt idx="14">
                        <c:v>2372.9058730857755</c:v>
                      </c:pt>
                      <c:pt idx="15">
                        <c:v>2255.834762794012</c:v>
                      </c:pt>
                      <c:pt idx="16">
                        <c:v>1817.2054115937976</c:v>
                      </c:pt>
                      <c:pt idx="17">
                        <c:v>1646.2105068155663</c:v>
                      </c:pt>
                      <c:pt idx="18">
                        <c:v>1501.1567464338466</c:v>
                      </c:pt>
                      <c:pt idx="19">
                        <c:v>1355.2744013596052</c:v>
                      </c:pt>
                      <c:pt idx="20">
                        <c:v>1247.1707284282311</c:v>
                      </c:pt>
                      <c:pt idx="21">
                        <c:v>1107.7885035036006</c:v>
                      </c:pt>
                      <c:pt idx="22">
                        <c:v>1023.2315898105385</c:v>
                      </c:pt>
                      <c:pt idx="23">
                        <c:v>949.40342400270583</c:v>
                      </c:pt>
                      <c:pt idx="24">
                        <c:v>895.18096922707298</c:v>
                      </c:pt>
                      <c:pt idx="25">
                        <c:v>765.37021234172209</c:v>
                      </c:pt>
                      <c:pt idx="26">
                        <c:v>636.95153465195222</c:v>
                      </c:pt>
                      <c:pt idx="27">
                        <c:v>780.16033152553234</c:v>
                      </c:pt>
                      <c:pt idx="28">
                        <c:v>776.53903507200141</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5-93DA-4C47-AE18-02E99400F6AC}"/>
                  </c:ext>
                </c:extLst>
              </c15:ser>
            </c15:filteredLineSeries>
          </c:ext>
        </c:extLst>
      </c:lineChart>
      <c:catAx>
        <c:axId val="134067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199289631"/>
        <c:crosses val="autoZero"/>
        <c:auto val="1"/>
        <c:lblAlgn val="ctr"/>
        <c:lblOffset val="100"/>
        <c:noMultiLvlLbl val="0"/>
      </c:catAx>
      <c:valAx>
        <c:axId val="11992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Milhões de Reais (R$ mi)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340672367"/>
        <c:crosses val="autoZero"/>
        <c:crossBetween val="between"/>
      </c:valAx>
      <c:spPr>
        <a:noFill/>
        <a:ln>
          <a:solidFill>
            <a:schemeClr val="bg1">
              <a:lumMod val="85000"/>
            </a:schemeClr>
          </a:solidFill>
        </a:ln>
        <a:effectLst/>
      </c:spPr>
    </c:plotArea>
    <c:legend>
      <c:legendPos val="b"/>
      <c:layout>
        <c:manualLayout>
          <c:xMode val="edge"/>
          <c:yMode val="edge"/>
          <c:x val="0.18775146633069459"/>
          <c:y val="0.92171151166128507"/>
          <c:w val="0.65915624954333352"/>
          <c:h val="7.49197222292456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15524846173242"/>
          <c:y val="4.6464644247292887E-2"/>
          <c:w val="0.86094944281708807"/>
          <c:h val="0.6970816178915954"/>
        </c:manualLayout>
      </c:layout>
      <c:lineChart>
        <c:grouping val="standard"/>
        <c:varyColors val="0"/>
        <c:ser>
          <c:idx val="4"/>
          <c:order val="4"/>
          <c:tx>
            <c:strRef>
              <c:f>'Gráficos - Monografia'!$A$176</c:f>
              <c:strCache>
                <c:ptCount val="1"/>
                <c:pt idx="0">
                  <c:v>Lucro Líquido</c:v>
                </c:pt>
              </c:strCache>
              <c:extLst xmlns:c15="http://schemas.microsoft.com/office/drawing/2012/chart"/>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ext>
              </c:extLst>
              <c:f>'Gráficos - Monografia'!$B$169:$AG$169</c:f>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Monografia'!$B$176:$AQ$176</c15:sqref>
                  </c15:fullRef>
                </c:ext>
              </c:extLst>
              <c:f>'Gráficos - Monografia'!$B$176:$AG$176</c:f>
              <c:numCache>
                <c:formatCode>#,##0</c:formatCode>
                <c:ptCount val="32"/>
                <c:pt idx="0">
                  <c:v>6520.0055696372056</c:v>
                </c:pt>
                <c:pt idx="1">
                  <c:v>8510.7613755547081</c:v>
                </c:pt>
                <c:pt idx="2">
                  <c:v>8225.4107674987281</c:v>
                </c:pt>
                <c:pt idx="3">
                  <c:v>8204.6165692923423</c:v>
                </c:pt>
                <c:pt idx="4">
                  <c:v>7500.7190516192586</c:v>
                </c:pt>
                <c:pt idx="5">
                  <c:v>7500.7508743293893</c:v>
                </c:pt>
                <c:pt idx="6">
                  <c:v>6811.067038919794</c:v>
                </c:pt>
                <c:pt idx="7">
                  <c:v>5811.8059893464188</c:v>
                </c:pt>
                <c:pt idx="8">
                  <c:v>5167.3346998747584</c:v>
                </c:pt>
                <c:pt idx="9">
                  <c:v>4485.6893942191809</c:v>
                </c:pt>
                <c:pt idx="10">
                  <c:v>4054.6823771434874</c:v>
                </c:pt>
                <c:pt idx="11">
                  <c:v>3572.3946731558535</c:v>
                </c:pt>
                <c:pt idx="12">
                  <c:v>3066.3731823873022</c:v>
                </c:pt>
                <c:pt idx="13">
                  <c:v>2611.8347467161207</c:v>
                </c:pt>
                <c:pt idx="14">
                  <c:v>2372.9058730857755</c:v>
                </c:pt>
                <c:pt idx="15">
                  <c:v>2255.834762794012</c:v>
                </c:pt>
                <c:pt idx="16">
                  <c:v>1817.2054115937976</c:v>
                </c:pt>
                <c:pt idx="17">
                  <c:v>1646.2105068155663</c:v>
                </c:pt>
                <c:pt idx="18">
                  <c:v>1501.1567464338466</c:v>
                </c:pt>
                <c:pt idx="19">
                  <c:v>1355.2744013596052</c:v>
                </c:pt>
                <c:pt idx="20">
                  <c:v>1247.1707284282311</c:v>
                </c:pt>
                <c:pt idx="21">
                  <c:v>1107.7885035036006</c:v>
                </c:pt>
                <c:pt idx="22">
                  <c:v>1023.2315898105385</c:v>
                </c:pt>
                <c:pt idx="23">
                  <c:v>949.40342400270583</c:v>
                </c:pt>
                <c:pt idx="24">
                  <c:v>895.18096922707298</c:v>
                </c:pt>
                <c:pt idx="25">
                  <c:v>765.37021234172209</c:v>
                </c:pt>
                <c:pt idx="26">
                  <c:v>636.95153465195222</c:v>
                </c:pt>
                <c:pt idx="27">
                  <c:v>780.16033152553234</c:v>
                </c:pt>
                <c:pt idx="28">
                  <c:v>776.53903507200141</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5-6A73-4854-8E6F-FF026FE45B9D}"/>
            </c:ext>
          </c:extLst>
        </c:ser>
        <c:dLbls>
          <c:showLegendKey val="0"/>
          <c:showVal val="0"/>
          <c:showCatName val="0"/>
          <c:showSerName val="0"/>
          <c:showPercent val="0"/>
          <c:showBubbleSize val="0"/>
        </c:dLbls>
        <c:smooth val="0"/>
        <c:axId val="1340672367"/>
        <c:axId val="1199289631"/>
        <c:extLst>
          <c:ext xmlns:c15="http://schemas.microsoft.com/office/drawing/2012/chart" uri="{02D57815-91ED-43cb-92C2-25804820EDAC}">
            <c15:filteredLineSeries>
              <c15:ser>
                <c:idx val="0"/>
                <c:order val="0"/>
                <c:tx>
                  <c:strRef>
                    <c:extLst>
                      <c:ext uri="{02D57815-91ED-43cb-92C2-25804820EDAC}">
                        <c15:formulaRef>
                          <c15:sqref>'Gráficos - Monografia'!$A$170</c15:sqref>
                        </c15:formulaRef>
                      </c:ext>
                    </c:extLst>
                    <c:strCache>
                      <c:ptCount val="1"/>
                      <c:pt idx="0">
                        <c:v>Receita Líquida</c:v>
                      </c:pt>
                    </c:strCache>
                  </c:strRef>
                </c:tx>
                <c:spPr>
                  <a:ln w="12700" cap="rnd">
                    <a:solidFill>
                      <a:schemeClr val="tx1"/>
                    </a:solidFill>
                    <a:round/>
                  </a:ln>
                  <a:effectLst/>
                </c:spPr>
                <c:marker>
                  <c:symbol val="none"/>
                </c:marker>
                <c:cat>
                  <c:numRef>
                    <c:extLst>
                      <c:ex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uri="{02D57815-91ED-43cb-92C2-25804820EDAC}">
                        <c15:fullRef>
                          <c15:sqref>'Gráficos - Monografia'!$B$170:$AQ$170</c15:sqref>
                        </c15:fullRef>
                        <c15:formulaRef>
                          <c15:sqref>'Gráficos - Monografia'!$B$170:$AG$170</c15:sqref>
                        </c15:formulaRef>
                      </c:ext>
                    </c:extLst>
                    <c:numCache>
                      <c:formatCode>#,##0</c:formatCode>
                      <c:ptCount val="32"/>
                      <c:pt idx="0">
                        <c:v>16390.386780871981</c:v>
                      </c:pt>
                      <c:pt idx="1">
                        <c:v>20323.351780034314</c:v>
                      </c:pt>
                      <c:pt idx="2">
                        <c:v>20721.904899899655</c:v>
                      </c:pt>
                      <c:pt idx="3">
                        <c:v>21323.319094521969</c:v>
                      </c:pt>
                      <c:pt idx="4">
                        <c:v>20553.244297288333</c:v>
                      </c:pt>
                      <c:pt idx="5">
                        <c:v>20781.192835271839</c:v>
                      </c:pt>
                      <c:pt idx="6">
                        <c:v>18961.693826721908</c:v>
                      </c:pt>
                      <c:pt idx="7">
                        <c:v>16224.666620542246</c:v>
                      </c:pt>
                      <c:pt idx="8">
                        <c:v>14451.927383099908</c:v>
                      </c:pt>
                      <c:pt idx="9">
                        <c:v>13007.420420359002</c:v>
                      </c:pt>
                      <c:pt idx="10">
                        <c:v>11798.203427187698</c:v>
                      </c:pt>
                      <c:pt idx="11">
                        <c:v>10570.288890776379</c:v>
                      </c:pt>
                      <c:pt idx="12">
                        <c:v>9331.6657179269641</c:v>
                      </c:pt>
                      <c:pt idx="13">
                        <c:v>8275.1517275991773</c:v>
                      </c:pt>
                      <c:pt idx="14">
                        <c:v>7515.5600073167261</c:v>
                      </c:pt>
                      <c:pt idx="15">
                        <c:v>6860.5560599817354</c:v>
                      </c:pt>
                      <c:pt idx="16">
                        <c:v>5568.6999780870374</c:v>
                      </c:pt>
                      <c:pt idx="17">
                        <c:v>5025.6528041598413</c:v>
                      </c:pt>
                      <c:pt idx="18">
                        <c:v>4549.1959123823272</c:v>
                      </c:pt>
                      <c:pt idx="19">
                        <c:v>4098.5154558692993</c:v>
                      </c:pt>
                      <c:pt idx="20">
                        <c:v>3749.8191320893975</c:v>
                      </c:pt>
                      <c:pt idx="21">
                        <c:v>3355.8032444751461</c:v>
                      </c:pt>
                      <c:pt idx="22">
                        <c:v>3132.2871289879899</c:v>
                      </c:pt>
                      <c:pt idx="23">
                        <c:v>2957.7798214273544</c:v>
                      </c:pt>
                      <c:pt idx="24">
                        <c:v>2810.6305580406165</c:v>
                      </c:pt>
                      <c:pt idx="25">
                        <c:v>2536.8832537542439</c:v>
                      </c:pt>
                      <c:pt idx="26">
                        <c:v>2382.4964886306102</c:v>
                      </c:pt>
                      <c:pt idx="27">
                        <c:v>2285.0377475453388</c:v>
                      </c:pt>
                      <c:pt idx="28">
                        <c:v>1476.5591882033877</c:v>
                      </c:pt>
                      <c:pt idx="29">
                        <c:v>0</c:v>
                      </c:pt>
                      <c:pt idx="30">
                        <c:v>0</c:v>
                      </c:pt>
                      <c:pt idx="31">
                        <c:v>0</c:v>
                      </c:pt>
                    </c:numCache>
                  </c:numRef>
                </c:val>
                <c:smooth val="0"/>
                <c:extLst>
                  <c:ext xmlns:c16="http://schemas.microsoft.com/office/drawing/2014/chart" uri="{C3380CC4-5D6E-409C-BE32-E72D297353CC}">
                    <c16:uniqueId val="{00000002-6A73-4854-8E6F-FF026FE45B9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'Gráficos - Monografia'!$A$171</c15:sqref>
                        </c15:formulaRef>
                      </c:ext>
                    </c:extLst>
                    <c:strCache>
                      <c:ptCount val="1"/>
                      <c:pt idx="0">
                        <c:v>Custos</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Monografia'!$B$171:$AQ$171</c15:sqref>
                        </c15:fullRef>
                        <c15:formulaRef>
                          <c15:sqref>'Gráficos - Monografia'!$B$171:$AG$171</c15:sqref>
                        </c15:formulaRef>
                      </c:ext>
                    </c:extLst>
                    <c:numCache>
                      <c:formatCode>#,##0</c:formatCode>
                      <c:ptCount val="32"/>
                      <c:pt idx="0">
                        <c:v>-4812.1486665140801</c:v>
                      </c:pt>
                      <c:pt idx="1">
                        <c:v>-5929.6246703844481</c:v>
                      </c:pt>
                      <c:pt idx="2">
                        <c:v>-6613.9573832003116</c:v>
                      </c:pt>
                      <c:pt idx="3">
                        <c:v>-7232.5122764203661</c:v>
                      </c:pt>
                      <c:pt idx="4">
                        <c:v>-7525.6889450110584</c:v>
                      </c:pt>
                      <c:pt idx="5">
                        <c:v>-7715.4924389519192</c:v>
                      </c:pt>
                      <c:pt idx="6">
                        <c:v>-6977.1184605563749</c:v>
                      </c:pt>
                      <c:pt idx="7">
                        <c:v>-5803.3502774851249</c:v>
                      </c:pt>
                      <c:pt idx="8">
                        <c:v>-5015.0832489032009</c:v>
                      </c:pt>
                      <c:pt idx="9">
                        <c:v>-4606.0943976703329</c:v>
                      </c:pt>
                      <c:pt idx="10">
                        <c:v>-4062.5871657171369</c:v>
                      </c:pt>
                      <c:pt idx="11">
                        <c:v>-3560.9600994159318</c:v>
                      </c:pt>
                      <c:pt idx="12">
                        <c:v>-3083.651457799438</c:v>
                      </c:pt>
                      <c:pt idx="13">
                        <c:v>-2702.4183428097294</c:v>
                      </c:pt>
                      <c:pt idx="14">
                        <c:v>-2387.0742940274672</c:v>
                      </c:pt>
                      <c:pt idx="15">
                        <c:v>-2042.705787543834</c:v>
                      </c:pt>
                      <c:pt idx="16">
                        <c:v>-1686.2910214034544</c:v>
                      </c:pt>
                      <c:pt idx="17">
                        <c:v>-1506.49614636927</c:v>
                      </c:pt>
                      <c:pt idx="18">
                        <c:v>-1346.8391855099601</c:v>
                      </c:pt>
                      <c:pt idx="19">
                        <c:v>-1209.3197947711819</c:v>
                      </c:pt>
                      <c:pt idx="20">
                        <c:v>-1089.2741624015898</c:v>
                      </c:pt>
                      <c:pt idx="21">
                        <c:v>-988.11392484361261</c:v>
                      </c:pt>
                      <c:pt idx="22">
                        <c:v>-937.44445955153651</c:v>
                      </c:pt>
                      <c:pt idx="23">
                        <c:v>-910.40617220954346</c:v>
                      </c:pt>
                      <c:pt idx="24">
                        <c:v>-875.55178020418407</c:v>
                      </c:pt>
                      <c:pt idx="25">
                        <c:v>-856.00441010669908</c:v>
                      </c:pt>
                      <c:pt idx="26">
                        <c:v>-927.0743376356188</c:v>
                      </c:pt>
                      <c:pt idx="27">
                        <c:v>-632.27801955430641</c:v>
                      </c:pt>
                      <c:pt idx="28">
                        <c:v>-1.9040216479907539</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3-6A73-4854-8E6F-FF026FE45B9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'Gráficos - Monografia'!$A$172</c15:sqref>
                        </c15:formulaRef>
                      </c:ext>
                    </c:extLst>
                    <c:strCache>
                      <c:ptCount val="1"/>
                      <c:pt idx="0">
                        <c:v>Despesas</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Monografia'!$B$172:$AQ$172</c15:sqref>
                        </c15:fullRef>
                        <c15:formulaRef>
                          <c15:sqref>'Gráficos - Monografia'!$B$172:$AG$172</c15:sqref>
                        </c15:formulaRef>
                      </c:ext>
                    </c:extLst>
                    <c:numCache>
                      <c:formatCode>#,##0</c:formatCode>
                      <c:ptCount val="32"/>
                      <c:pt idx="0">
                        <c:v>-781.1641074364461</c:v>
                      </c:pt>
                      <c:pt idx="1">
                        <c:v>-968.60880500361225</c:v>
                      </c:pt>
                      <c:pt idx="2">
                        <c:v>-1002.6853817559345</c:v>
                      </c:pt>
                      <c:pt idx="3">
                        <c:v>-1037.7793701173921</c:v>
                      </c:pt>
                      <c:pt idx="4">
                        <c:v>-1071.4625776831185</c:v>
                      </c:pt>
                      <c:pt idx="5">
                        <c:v>-1103.6064550136125</c:v>
                      </c:pt>
                      <c:pt idx="6">
                        <c:v>-1136.7146486640211</c:v>
                      </c:pt>
                      <c:pt idx="7">
                        <c:v>-1170.8160881239421</c:v>
                      </c:pt>
                      <c:pt idx="8">
                        <c:v>-1205.9405707676606</c:v>
                      </c:pt>
                      <c:pt idx="9">
                        <c:v>-1242.1187878906908</c:v>
                      </c:pt>
                      <c:pt idx="10">
                        <c:v>-1279.3823515274119</c:v>
                      </c:pt>
                      <c:pt idx="11">
                        <c:v>-1317.7638220732347</c:v>
                      </c:pt>
                      <c:pt idx="12">
                        <c:v>-1357.2967367354322</c:v>
                      </c:pt>
                      <c:pt idx="13">
                        <c:v>-1398.0156388374955</c:v>
                      </c:pt>
                      <c:pt idx="14">
                        <c:v>-1333.8309869013071</c:v>
                      </c:pt>
                      <c:pt idx="15">
                        <c:v>-1217.5835534901532</c:v>
                      </c:pt>
                      <c:pt idx="16">
                        <c:v>-988.31019648541508</c:v>
                      </c:pt>
                      <c:pt idx="17">
                        <c:v>-891.93239533312453</c:v>
                      </c:pt>
                      <c:pt idx="18">
                        <c:v>-807.37276630257566</c:v>
                      </c:pt>
                      <c:pt idx="19">
                        <c:v>-727.38783404168305</c:v>
                      </c:pt>
                      <c:pt idx="20">
                        <c:v>-665.50263038108983</c:v>
                      </c:pt>
                      <c:pt idx="21">
                        <c:v>-595.57429507145696</c:v>
                      </c:pt>
                      <c:pt idx="22">
                        <c:v>-555.90556504756842</c:v>
                      </c:pt>
                      <c:pt idx="23">
                        <c:v>-524.93471869167661</c:v>
                      </c:pt>
                      <c:pt idx="24">
                        <c:v>-498.81926661440571</c:v>
                      </c:pt>
                      <c:pt idx="25">
                        <c:v>-450.23570974274315</c:v>
                      </c:pt>
                      <c:pt idx="26">
                        <c:v>-422.83577532815809</c:v>
                      </c:pt>
                      <c:pt idx="27">
                        <c:v>-405.53919481022302</c:v>
                      </c:pt>
                      <c:pt idx="28">
                        <c:v>-262.05371220536358</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4-6A73-4854-8E6F-FF026FE45B9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'Gráficos - Monografia'!$A$174</c15:sqref>
                        </c15:formulaRef>
                      </c:ext>
                    </c:extLst>
                    <c:strCache>
                      <c:ptCount val="1"/>
                      <c:pt idx="0">
                        <c:v>Resultado Financeiro</c:v>
                      </c:pt>
                    </c:strCache>
                  </c:strRef>
                </c:tx>
                <c:spPr>
                  <a:ln w="12700" cap="rnd">
                    <a:solidFill>
                      <a:schemeClr val="bg1">
                        <a:lumMod val="65000"/>
                      </a:schemeClr>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Monografia'!$B$174:$AQ$174</c15:sqref>
                        </c15:fullRef>
                        <c15:formulaRef>
                          <c15:sqref>'Gráficos - Monografia'!$B$174:$AG$174</c15:sqref>
                        </c15:formulaRef>
                      </c:ext>
                    </c:extLst>
                    <c:numCache>
                      <c:formatCode>#,##0</c:formatCode>
                      <c:ptCount val="32"/>
                      <c:pt idx="0">
                        <c:v>-311.56733934736405</c:v>
                      </c:pt>
                      <c:pt idx="1">
                        <c:v>222.26858108767311</c:v>
                      </c:pt>
                      <c:pt idx="2">
                        <c:v>124.52827915828009</c:v>
                      </c:pt>
                      <c:pt idx="3">
                        <c:v>167.51869219870528</c:v>
                      </c:pt>
                      <c:pt idx="4">
                        <c:v>169.43670827938641</c:v>
                      </c:pt>
                      <c:pt idx="5">
                        <c:v>171.92155362573834</c:v>
                      </c:pt>
                      <c:pt idx="6">
                        <c:v>173.82827288767115</c:v>
                      </c:pt>
                      <c:pt idx="7">
                        <c:v>155.84240972997529</c:v>
                      </c:pt>
                      <c:pt idx="8">
                        <c:v>133.34732468085258</c:v>
                      </c:pt>
                      <c:pt idx="9">
                        <c:v>118.77753164914797</c:v>
                      </c:pt>
                      <c:pt idx="10">
                        <c:v>123.94926549949027</c:v>
                      </c:pt>
                      <c:pt idx="11">
                        <c:v>112.42649209097479</c:v>
                      </c:pt>
                      <c:pt idx="12">
                        <c:v>100.72554755579984</c:v>
                      </c:pt>
                      <c:pt idx="13">
                        <c:v>88.9225591427371</c:v>
                      </c:pt>
                      <c:pt idx="14">
                        <c:v>78.854910918951191</c:v>
                      </c:pt>
                      <c:pt idx="15">
                        <c:v>71.616670532629755</c:v>
                      </c:pt>
                      <c:pt idx="16">
                        <c:v>65.375059548459205</c:v>
                      </c:pt>
                      <c:pt idx="17">
                        <c:v>53.064808375884382</c:v>
                      </c:pt>
                      <c:pt idx="18">
                        <c:v>47.890046880938087</c:v>
                      </c:pt>
                      <c:pt idx="19">
                        <c:v>43.349832152000999</c:v>
                      </c:pt>
                      <c:pt idx="20">
                        <c:v>33.414452254262372</c:v>
                      </c:pt>
                      <c:pt idx="21">
                        <c:v>30.571594446932473</c:v>
                      </c:pt>
                      <c:pt idx="22">
                        <c:v>27.359254465329464</c:v>
                      </c:pt>
                      <c:pt idx="23">
                        <c:v>25.53696816449132</c:v>
                      </c:pt>
                      <c:pt idx="24">
                        <c:v>24.114241775072806</c:v>
                      </c:pt>
                      <c:pt idx="25">
                        <c:v>22.914560551803444</c:v>
                      </c:pt>
                      <c:pt idx="26">
                        <c:v>20.682748490265105</c:v>
                      </c:pt>
                      <c:pt idx="27">
                        <c:v>19.424061229606934</c:v>
                      </c:pt>
                      <c:pt idx="28">
                        <c:v>18.62949781126208</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0-6A73-4854-8E6F-FF026FE45B9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'Gráficos - Monografia'!$A$183</c15:sqref>
                        </c15:formulaRef>
                      </c:ext>
                    </c:extLst>
                    <c:strCache>
                      <c:ptCount val="1"/>
                      <c:pt idx="0">
                        <c:v>Variação da Dívida Líquida</c:v>
                      </c:pt>
                    </c:strCache>
                  </c:strRef>
                </c:tx>
                <c:spPr>
                  <a:ln w="12700" cap="rnd">
                    <a:solidFill>
                      <a:schemeClr val="tx1"/>
                    </a:solidFill>
                    <a:round/>
                  </a:ln>
                  <a:effectLst/>
                </c:spPr>
                <c:marker>
                  <c:symbol val="none"/>
                </c:marker>
                <c:val>
                  <c:numRef>
                    <c:extLst>
                      <c:ext xmlns:c15="http://schemas.microsoft.com/office/drawing/2012/chart" uri="{02D57815-91ED-43cb-92C2-25804820EDAC}">
                        <c15:fullRef>
                          <c15:sqref>'Gráficos - Monografia'!$B$183:$AQ$183</c15:sqref>
                        </c15:fullRef>
                        <c15:formulaRef>
                          <c15:sqref>'Gráficos - Monografia'!$B$183:$AG$183</c15:sqref>
                        </c15:formulaRef>
                      </c:ext>
                    </c:extLst>
                    <c:numCache>
                      <c:formatCode>#,##0</c:formatCode>
                      <c:ptCount val="32"/>
                      <c:pt idx="0">
                        <c:v>-2927.860289411361</c:v>
                      </c:pt>
                      <c:pt idx="1">
                        <c:v>-2358.6130355949017</c:v>
                      </c:pt>
                      <c:pt idx="2">
                        <c:v>-3249.675955458556</c:v>
                      </c:pt>
                      <c:pt idx="3">
                        <c:v>-905.21040074048778</c:v>
                      </c:pt>
                      <c:pt idx="4">
                        <c:v>-756.65530500743444</c:v>
                      </c:pt>
                      <c:pt idx="5">
                        <c:v>-57.008682623194545</c:v>
                      </c:pt>
                      <c:pt idx="6">
                        <c:v>455.04675059220978</c:v>
                      </c:pt>
                      <c:pt idx="7">
                        <c:v>684.51553455207568</c:v>
                      </c:pt>
                      <c:pt idx="8">
                        <c:v>443.35238758296373</c:v>
                      </c:pt>
                      <c:pt idx="9">
                        <c:v>361.26329089177534</c:v>
                      </c:pt>
                      <c:pt idx="10">
                        <c:v>302.41855638163361</c:v>
                      </c:pt>
                      <c:pt idx="11">
                        <c:v>307.09470968286951</c:v>
                      </c:pt>
                      <c:pt idx="12">
                        <c:v>309.77288108693756</c:v>
                      </c:pt>
                      <c:pt idx="13">
                        <c:v>264.2283705540558</c:v>
                      </c:pt>
                      <c:pt idx="14">
                        <c:v>189.96973478251289</c:v>
                      </c:pt>
                      <c:pt idx="15">
                        <c:v>163.81290479372024</c:v>
                      </c:pt>
                      <c:pt idx="16">
                        <c:v>323.08614049065204</c:v>
                      </c:pt>
                      <c:pt idx="17">
                        <c:v>135.81312809331598</c:v>
                      </c:pt>
                      <c:pt idx="18">
                        <c:v>119.15926273211358</c:v>
                      </c:pt>
                      <c:pt idx="19">
                        <c:v>112.71271725237602</c:v>
                      </c:pt>
                      <c:pt idx="20">
                        <c:v>87.207043441012843</c:v>
                      </c:pt>
                      <c:pt idx="21">
                        <c:v>98.541218488193522</c:v>
                      </c:pt>
                      <c:pt idx="22">
                        <c:v>55.90015799925186</c:v>
                      </c:pt>
                      <c:pt idx="23">
                        <c:v>43.643323182323911</c:v>
                      </c:pt>
                      <c:pt idx="24">
                        <c:v>36.801225964688228</c:v>
                      </c:pt>
                      <c:pt idx="25">
                        <c:v>68.462703586833186</c:v>
                      </c:pt>
                      <c:pt idx="26">
                        <c:v>38.611285564778086</c:v>
                      </c:pt>
                      <c:pt idx="27">
                        <c:v>24.373898111109156</c:v>
                      </c:pt>
                      <c:pt idx="28">
                        <c:v>202.19606585288761</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1-6A73-4854-8E6F-FF026FE45B9D}"/>
                  </c:ext>
                </c:extLst>
              </c15:ser>
            </c15:filteredLineSeries>
          </c:ext>
        </c:extLst>
      </c:lineChart>
      <c:catAx>
        <c:axId val="134067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199289631"/>
        <c:crosses val="autoZero"/>
        <c:auto val="1"/>
        <c:lblAlgn val="ctr"/>
        <c:lblOffset val="100"/>
        <c:noMultiLvlLbl val="0"/>
      </c:catAx>
      <c:valAx>
        <c:axId val="11992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Milhões de Reais (R$ mi)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340672367"/>
        <c:crosses val="autoZero"/>
        <c:crossBetween val="between"/>
      </c:valAx>
      <c:spPr>
        <a:noFill/>
        <a:ln>
          <a:solidFill>
            <a:schemeClr val="bg1">
              <a:lumMod val="85000"/>
            </a:schemeClr>
          </a:solidFill>
        </a:ln>
        <a:effectLst/>
      </c:spPr>
    </c:plotArea>
    <c:legend>
      <c:legendPos val="b"/>
      <c:layout>
        <c:manualLayout>
          <c:xMode val="edge"/>
          <c:yMode val="edge"/>
          <c:x val="0.18775146633069459"/>
          <c:y val="0.92171151166128507"/>
          <c:w val="0.65915624954333352"/>
          <c:h val="7.49197222292456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93448249721301"/>
          <c:y val="3.6160420775805391E-2"/>
          <c:w val="0.86103040027330136"/>
          <c:h val="0.68817943878608467"/>
        </c:manualLayout>
      </c:layout>
      <c:lineChart>
        <c:grouping val="standard"/>
        <c:varyColors val="0"/>
        <c:ser>
          <c:idx val="2"/>
          <c:order val="0"/>
          <c:tx>
            <c:strRef>
              <c:f>'Gráficos - Monografia'!$A$178</c:f>
              <c:strCache>
                <c:ptCount val="1"/>
                <c:pt idx="0">
                  <c:v>Depreciação/Amortizações</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ext>
              </c:extLst>
              <c:f>'Gráficos - Monografia'!$B$169:$AG$169</c:f>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Monografia'!$B$178:$AQ$178</c15:sqref>
                  </c15:fullRef>
                </c:ext>
              </c:extLst>
              <c:f>'Gráficos - Monografia'!$B$178:$AG$178</c:f>
              <c:numCache>
                <c:formatCode>#,##0</c:formatCode>
                <c:ptCount val="32"/>
                <c:pt idx="0">
                  <c:v>1596.9531915402797</c:v>
                </c:pt>
                <c:pt idx="1">
                  <c:v>1891.224984240544</c:v>
                </c:pt>
                <c:pt idx="2">
                  <c:v>2219.4582125376492</c:v>
                </c:pt>
                <c:pt idx="3">
                  <c:v>2392.3301476040915</c:v>
                </c:pt>
                <c:pt idx="4">
                  <c:v>2655.3508833659366</c:v>
                </c:pt>
                <c:pt idx="5">
                  <c:v>2587.6981410118365</c:v>
                </c:pt>
                <c:pt idx="6">
                  <c:v>2369.0125761991999</c:v>
                </c:pt>
                <c:pt idx="7">
                  <c:v>2064.7267952979869</c:v>
                </c:pt>
                <c:pt idx="8">
                  <c:v>1828.137374014656</c:v>
                </c:pt>
                <c:pt idx="9">
                  <c:v>1639.3550532193231</c:v>
                </c:pt>
                <c:pt idx="10">
                  <c:v>1457.6845995409428</c:v>
                </c:pt>
                <c:pt idx="11">
                  <c:v>1283.1199727102191</c:v>
                </c:pt>
                <c:pt idx="12">
                  <c:v>1140.9963347259759</c:v>
                </c:pt>
                <c:pt idx="13">
                  <c:v>1046.6193330039277</c:v>
                </c:pt>
                <c:pt idx="14">
                  <c:v>932.58941753807062</c:v>
                </c:pt>
                <c:pt idx="15">
                  <c:v>761.804332869164</c:v>
                </c:pt>
                <c:pt idx="16">
                  <c:v>696.69733130685336</c:v>
                </c:pt>
                <c:pt idx="17">
                  <c:v>643.18237575193064</c:v>
                </c:pt>
                <c:pt idx="18">
                  <c:v>595.39629467051498</c:v>
                </c:pt>
                <c:pt idx="19">
                  <c:v>564.35475797985077</c:v>
                </c:pt>
                <c:pt idx="20">
                  <c:v>528.54482289560906</c:v>
                </c:pt>
                <c:pt idx="21">
                  <c:v>521.83892808162614</c:v>
                </c:pt>
                <c:pt idx="22">
                  <c:v>528.27217103676367</c:v>
                </c:pt>
                <c:pt idx="23">
                  <c:v>547.8347497868856</c:v>
                </c:pt>
                <c:pt idx="24">
                  <c:v>553.6994209799501</c:v>
                </c:pt>
                <c:pt idx="25">
                  <c:v>603.08183312543747</c:v>
                </c:pt>
                <c:pt idx="26">
                  <c:v>717.3235814515607</c:v>
                </c:pt>
                <c:pt idx="27">
                  <c:v>453.47301428149234</c:v>
                </c:pt>
                <c:pt idx="28">
                  <c:v>10.173088515200186</c:v>
                </c:pt>
                <c:pt idx="29">
                  <c:v>0</c:v>
                </c:pt>
                <c:pt idx="30">
                  <c:v>0</c:v>
                </c:pt>
                <c:pt idx="31">
                  <c:v>0</c:v>
                </c:pt>
              </c:numCache>
            </c:numRef>
          </c:val>
          <c:smooth val="0"/>
          <c:extLst>
            <c:ext xmlns:c16="http://schemas.microsoft.com/office/drawing/2014/chart" uri="{C3380CC4-5D6E-409C-BE32-E72D297353CC}">
              <c16:uniqueId val="{00000000-4D2E-4A1B-87F4-CE2CEDFA1D8E}"/>
            </c:ext>
          </c:extLst>
        </c:ser>
        <c:dLbls>
          <c:showLegendKey val="0"/>
          <c:showVal val="0"/>
          <c:showCatName val="0"/>
          <c:showSerName val="0"/>
          <c:showPercent val="0"/>
          <c:showBubbleSize val="0"/>
        </c:dLbls>
        <c:smooth val="0"/>
        <c:axId val="1340672367"/>
        <c:axId val="1199289631"/>
        <c:extLst>
          <c:ext xmlns:c15="http://schemas.microsoft.com/office/drawing/2012/chart" uri="{02D57815-91ED-43cb-92C2-25804820EDAC}">
            <c15:filteredLineSeries>
              <c15:ser>
                <c:idx val="3"/>
                <c:order val="1"/>
                <c:tx>
                  <c:strRef>
                    <c:extLst>
                      <c:ext uri="{02D57815-91ED-43cb-92C2-25804820EDAC}">
                        <c15:formulaRef>
                          <c15:sqref>'Gráficos - Monografia'!$A$179</c15:sqref>
                        </c15:formulaRef>
                      </c:ext>
                    </c:extLst>
                    <c:strCache>
                      <c:ptCount val="1"/>
                      <c:pt idx="0">
                        <c:v>Abandono</c:v>
                      </c:pt>
                    </c:strCache>
                  </c:strRef>
                </c:tx>
                <c:spPr>
                  <a:ln w="12700" cap="rnd">
                    <a:solidFill>
                      <a:schemeClr val="tx1"/>
                    </a:solidFill>
                    <a:round/>
                  </a:ln>
                  <a:effectLst/>
                </c:spPr>
                <c:marker>
                  <c:symbol val="none"/>
                </c:marker>
                <c:cat>
                  <c:numRef>
                    <c:extLst>
                      <c:ex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uri="{02D57815-91ED-43cb-92C2-25804820EDAC}">
                        <c15:fullRef>
                          <c15:sqref>'Gráficos - Monografia'!$B$179:$AQ$179</c15:sqref>
                        </c15:fullRef>
                        <c15:formulaRef>
                          <c15:sqref>'Gráficos - Monografia'!$B$179:$AG$179</c15:sqref>
                        </c15:formulaRef>
                      </c:ext>
                    </c:extLst>
                    <c:numCache>
                      <c:formatCode>#,##0</c:formatCode>
                      <c:ptCount val="32"/>
                      <c:pt idx="0">
                        <c:v>-57.710249999999988</c:v>
                      </c:pt>
                      <c:pt idx="1">
                        <c:v>-58.866841799999989</c:v>
                      </c:pt>
                      <c:pt idx="2">
                        <c:v>-121.7268</c:v>
                      </c:pt>
                      <c:pt idx="3">
                        <c:v>0</c:v>
                      </c:pt>
                      <c:pt idx="4">
                        <c:v>-64.588726987199991</c:v>
                      </c:pt>
                      <c:pt idx="5">
                        <c:v>-66.526388796815993</c:v>
                      </c:pt>
                      <c:pt idx="6">
                        <c:v>0</c:v>
                      </c:pt>
                      <c:pt idx="7">
                        <c:v>0</c:v>
                      </c:pt>
                      <c:pt idx="8">
                        <c:v>0</c:v>
                      </c:pt>
                      <c:pt idx="9">
                        <c:v>0</c:v>
                      </c:pt>
                      <c:pt idx="10">
                        <c:v>0</c:v>
                      </c:pt>
                      <c:pt idx="11">
                        <c:v>0</c:v>
                      </c:pt>
                      <c:pt idx="12">
                        <c:v>0</c:v>
                      </c:pt>
                      <c:pt idx="13">
                        <c:v>0</c:v>
                      </c:pt>
                      <c:pt idx="14">
                        <c:v>0</c:v>
                      </c:pt>
                      <c:pt idx="15">
                        <c:v>0</c:v>
                      </c:pt>
                      <c:pt idx="16">
                        <c:v>-732.7692572934875</c:v>
                      </c:pt>
                      <c:pt idx="17">
                        <c:v>0</c:v>
                      </c:pt>
                      <c:pt idx="18">
                        <c:v>0</c:v>
                      </c:pt>
                      <c:pt idx="19">
                        <c:v>0</c:v>
                      </c:pt>
                      <c:pt idx="20">
                        <c:v>0</c:v>
                      </c:pt>
                      <c:pt idx="21">
                        <c:v>0</c:v>
                      </c:pt>
                      <c:pt idx="22">
                        <c:v>0</c:v>
                      </c:pt>
                      <c:pt idx="23">
                        <c:v>0</c:v>
                      </c:pt>
                      <c:pt idx="24">
                        <c:v>0</c:v>
                      </c:pt>
                      <c:pt idx="25">
                        <c:v>0</c:v>
                      </c:pt>
                      <c:pt idx="26">
                        <c:v>0</c:v>
                      </c:pt>
                      <c:pt idx="27">
                        <c:v>0</c:v>
                      </c:pt>
                      <c:pt idx="28">
                        <c:v>0</c:v>
                      </c:pt>
                      <c:pt idx="29">
                        <c:v>-10869.625044523464</c:v>
                      </c:pt>
                      <c:pt idx="30">
                        <c:v>0</c:v>
                      </c:pt>
                      <c:pt idx="31">
                        <c:v>0</c:v>
                      </c:pt>
                    </c:numCache>
                  </c:numRef>
                </c:val>
                <c:smooth val="0"/>
                <c:extLst>
                  <c:ext xmlns:c16="http://schemas.microsoft.com/office/drawing/2014/chart" uri="{C3380CC4-5D6E-409C-BE32-E72D297353CC}">
                    <c16:uniqueId val="{00000001-4D2E-4A1B-87F4-CE2CEDFA1D8E}"/>
                  </c:ext>
                </c:extLst>
              </c15:ser>
            </c15:filteredLineSeries>
            <c15:filteredLineSeries>
              <c15:ser>
                <c:idx val="4"/>
                <c:order val="2"/>
                <c:tx>
                  <c:strRef>
                    <c:extLst xmlns:c15="http://schemas.microsoft.com/office/drawing/2012/chart">
                      <c:ext xmlns:c15="http://schemas.microsoft.com/office/drawing/2012/chart" uri="{02D57815-91ED-43cb-92C2-25804820EDAC}">
                        <c15:formulaRef>
                          <c15:sqref>'Gráficos - Monografia'!$A$180</c15:sqref>
                        </c15:formulaRef>
                      </c:ext>
                    </c:extLst>
                    <c:strCache>
                      <c:ptCount val="1"/>
                      <c:pt idx="0">
                        <c:v>Variação do Capital de Giro</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Monografia'!$B$180:$AQ$180</c15:sqref>
                        </c15:fullRef>
                        <c15:formulaRef>
                          <c15:sqref>'Gráficos - Monografia'!$B$180:$AG$180</c15:sqref>
                        </c15:formulaRef>
                      </c:ext>
                    </c:extLst>
                    <c:numCache>
                      <c:formatCode>#,##0</c:formatCode>
                      <c:ptCount val="32"/>
                      <c:pt idx="0">
                        <c:v>-1082.6085989700173</c:v>
                      </c:pt>
                      <c:pt idx="1">
                        <c:v>-580.48134218906705</c:v>
                      </c:pt>
                      <c:pt idx="2">
                        <c:v>34.394185195168482</c:v>
                      </c:pt>
                      <c:pt idx="3">
                        <c:v>-15.756499500703532</c:v>
                      </c:pt>
                      <c:pt idx="4">
                        <c:v>200.52097917740372</c:v>
                      </c:pt>
                      <c:pt idx="5">
                        <c:v>13.530800975340419</c:v>
                      </c:pt>
                      <c:pt idx="6">
                        <c:v>287.95682717192636</c:v>
                      </c:pt>
                      <c:pt idx="7">
                        <c:v>403.67556671605769</c:v>
                      </c:pt>
                      <c:pt idx="8">
                        <c:v>244.38426108784438</c:v>
                      </c:pt>
                      <c:pt idx="9">
                        <c:v>196.66342060175981</c:v>
                      </c:pt>
                      <c:pt idx="10">
                        <c:v>168.45813702328411</c:v>
                      </c:pt>
                      <c:pt idx="11">
                        <c:v>171.85625586552359</c:v>
                      </c:pt>
                      <c:pt idx="12">
                        <c:v>176.06042563267403</c:v>
                      </c:pt>
                      <c:pt idx="13">
                        <c:v>147.34130428998614</c:v>
                      </c:pt>
                      <c:pt idx="14">
                        <c:v>107.73225064288185</c:v>
                      </c:pt>
                      <c:pt idx="15">
                        <c:v>82.225582530084878</c:v>
                      </c:pt>
                      <c:pt idx="16">
                        <c:v>189.31420478327701</c:v>
                      </c:pt>
                      <c:pt idx="17">
                        <c:v>78.444894486394475</c:v>
                      </c:pt>
                      <c:pt idx="18">
                        <c:v>69.787769434820163</c:v>
                      </c:pt>
                      <c:pt idx="19">
                        <c:v>65.991442436840728</c:v>
                      </c:pt>
                      <c:pt idx="20">
                        <c:v>51.827280256567349</c:v>
                      </c:pt>
                      <c:pt idx="21">
                        <c:v>56.934347450671602</c:v>
                      </c:pt>
                      <c:pt idx="22">
                        <c:v>32.785039290965969</c:v>
                      </c:pt>
                      <c:pt idx="23">
                        <c:v>25.605301720787015</c:v>
                      </c:pt>
                      <c:pt idx="24">
                        <c:v>22.200317614023195</c:v>
                      </c:pt>
                      <c:pt idx="25">
                        <c:v>39.563841039256481</c:v>
                      </c:pt>
                      <c:pt idx="26">
                        <c:v>22.550319884034952</c:v>
                      </c:pt>
                      <c:pt idx="27">
                        <c:v>14.216320325330628</c:v>
                      </c:pt>
                      <c:pt idx="28">
                        <c:v>118.81697771128709</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2-4D2E-4A1B-87F4-CE2CEDFA1D8E}"/>
                  </c:ext>
                </c:extLst>
              </c15:ser>
            </c15:filteredLineSeries>
            <c15:filteredLineSeries>
              <c15:ser>
                <c:idx val="5"/>
                <c:order val="3"/>
                <c:tx>
                  <c:strRef>
                    <c:extLst xmlns:c15="http://schemas.microsoft.com/office/drawing/2012/chart">
                      <c:ext xmlns:c15="http://schemas.microsoft.com/office/drawing/2012/chart" uri="{02D57815-91ED-43cb-92C2-25804820EDAC}">
                        <c15:formulaRef>
                          <c15:sqref>'Gráficos - Monografia'!$A$183</c15:sqref>
                        </c15:formulaRef>
                      </c:ext>
                    </c:extLst>
                    <c:strCache>
                      <c:ptCount val="1"/>
                      <c:pt idx="0">
                        <c:v>Variação da Dívida Líquida</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Monografia'!$B$183:$AQ$183</c15:sqref>
                        </c15:fullRef>
                        <c15:formulaRef>
                          <c15:sqref>'Gráficos - Monografia'!$B$183:$AG$183</c15:sqref>
                        </c15:formulaRef>
                      </c:ext>
                    </c:extLst>
                    <c:numCache>
                      <c:formatCode>#,##0</c:formatCode>
                      <c:ptCount val="32"/>
                      <c:pt idx="0">
                        <c:v>-2927.860289411361</c:v>
                      </c:pt>
                      <c:pt idx="1">
                        <c:v>-2358.6130355949017</c:v>
                      </c:pt>
                      <c:pt idx="2">
                        <c:v>-3249.675955458556</c:v>
                      </c:pt>
                      <c:pt idx="3">
                        <c:v>-905.21040074048778</c:v>
                      </c:pt>
                      <c:pt idx="4">
                        <c:v>-756.65530500743444</c:v>
                      </c:pt>
                      <c:pt idx="5">
                        <c:v>-57.008682623194545</c:v>
                      </c:pt>
                      <c:pt idx="6">
                        <c:v>455.04675059220978</c:v>
                      </c:pt>
                      <c:pt idx="7">
                        <c:v>684.51553455207568</c:v>
                      </c:pt>
                      <c:pt idx="8">
                        <c:v>443.35238758296373</c:v>
                      </c:pt>
                      <c:pt idx="9">
                        <c:v>361.26329089177534</c:v>
                      </c:pt>
                      <c:pt idx="10">
                        <c:v>302.41855638163361</c:v>
                      </c:pt>
                      <c:pt idx="11">
                        <c:v>307.09470968286951</c:v>
                      </c:pt>
                      <c:pt idx="12">
                        <c:v>309.77288108693756</c:v>
                      </c:pt>
                      <c:pt idx="13">
                        <c:v>264.2283705540558</c:v>
                      </c:pt>
                      <c:pt idx="14">
                        <c:v>189.96973478251289</c:v>
                      </c:pt>
                      <c:pt idx="15">
                        <c:v>163.81290479372024</c:v>
                      </c:pt>
                      <c:pt idx="16">
                        <c:v>323.08614049065204</c:v>
                      </c:pt>
                      <c:pt idx="17">
                        <c:v>135.81312809331598</c:v>
                      </c:pt>
                      <c:pt idx="18">
                        <c:v>119.15926273211358</c:v>
                      </c:pt>
                      <c:pt idx="19">
                        <c:v>112.71271725237602</c:v>
                      </c:pt>
                      <c:pt idx="20">
                        <c:v>87.207043441012843</c:v>
                      </c:pt>
                      <c:pt idx="21">
                        <c:v>98.541218488193522</c:v>
                      </c:pt>
                      <c:pt idx="22">
                        <c:v>55.90015799925186</c:v>
                      </c:pt>
                      <c:pt idx="23">
                        <c:v>43.643323182323911</c:v>
                      </c:pt>
                      <c:pt idx="24">
                        <c:v>36.801225964688228</c:v>
                      </c:pt>
                      <c:pt idx="25">
                        <c:v>68.462703586833186</c:v>
                      </c:pt>
                      <c:pt idx="26">
                        <c:v>38.611285564778086</c:v>
                      </c:pt>
                      <c:pt idx="27">
                        <c:v>24.373898111109156</c:v>
                      </c:pt>
                      <c:pt idx="28">
                        <c:v>202.19606585288761</c:v>
                      </c:pt>
                      <c:pt idx="29">
                        <c:v>0</c:v>
                      </c:pt>
                      <c:pt idx="30">
                        <c:v>0</c:v>
                      </c:pt>
                      <c:pt idx="31">
                        <c:v>0</c:v>
                      </c:pt>
                    </c:numCache>
                  </c:numRef>
                </c:val>
                <c:smooth val="0"/>
                <c:extLst xmlns:c15="http://schemas.microsoft.com/office/drawing/2012/chart">
                  <c:ext xmlns:c16="http://schemas.microsoft.com/office/drawing/2014/chart" uri="{C3380CC4-5D6E-409C-BE32-E72D297353CC}">
                    <c16:uniqueId val="{00000003-4D2E-4A1B-87F4-CE2CEDFA1D8E}"/>
                  </c:ext>
                </c:extLst>
              </c15:ser>
            </c15:filteredLineSeries>
            <c15:filteredLineSeries>
              <c15:ser>
                <c:idx val="6"/>
                <c:order val="4"/>
                <c:tx>
                  <c:strRef>
                    <c:extLst xmlns:c15="http://schemas.microsoft.com/office/drawing/2012/chart">
                      <c:ext xmlns:c15="http://schemas.microsoft.com/office/drawing/2012/chart" uri="{02D57815-91ED-43cb-92C2-25804820EDAC}">
                        <c15:formulaRef>
                          <c15:sqref>'Gráficos - Monografia'!$A$185</c15:sqref>
                        </c15:formulaRef>
                      </c:ext>
                    </c:extLst>
                    <c:strCache>
                      <c:ptCount val="1"/>
                      <c:pt idx="0">
                        <c:v>Fluxo de Caixa dos Acionistas</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15:formulaRef>
                          <c15:sqref>'Gráficos - Monografia'!$B$169:$AG$169</c15:sqref>
                        </c15:formulaRef>
                      </c:ext>
                    </c:extLst>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Monografia'!$B$185:$AQ$185</c15:sqref>
                        </c15:fullRef>
                        <c15:formulaRef>
                          <c15:sqref>'Gráficos - Monografia'!$B$185:$AG$185</c15:sqref>
                        </c15:formulaRef>
                      </c:ext>
                    </c:extLst>
                    <c:numCache>
                      <c:formatCode>#,##0</c:formatCode>
                      <c:ptCount val="32"/>
                      <c:pt idx="0">
                        <c:v>2028.8765732809061</c:v>
                      </c:pt>
                      <c:pt idx="1">
                        <c:v>5389.6642516960828</c:v>
                      </c:pt>
                      <c:pt idx="2">
                        <c:v>5475.2076585377881</c:v>
                      </c:pt>
                      <c:pt idx="3">
                        <c:v>8046.4611559760424</c:v>
                      </c:pt>
                      <c:pt idx="4">
                        <c:v>8215.1101554037559</c:v>
                      </c:pt>
                      <c:pt idx="5">
                        <c:v>8604.4863720627654</c:v>
                      </c:pt>
                      <c:pt idx="6">
                        <c:v>9678.013727109932</c:v>
                      </c:pt>
                      <c:pt idx="7">
                        <c:v>8712.6135611161189</c:v>
                      </c:pt>
                      <c:pt idx="8">
                        <c:v>7423.8340674120118</c:v>
                      </c:pt>
                      <c:pt idx="9">
                        <c:v>6416.1268564460934</c:v>
                      </c:pt>
                      <c:pt idx="10">
                        <c:v>5708.6926395331884</c:v>
                      </c:pt>
                      <c:pt idx="11">
                        <c:v>5051.9900319977023</c:v>
                      </c:pt>
                      <c:pt idx="12">
                        <c:v>4402.5511766064355</c:v>
                      </c:pt>
                      <c:pt idx="13">
                        <c:v>3882.6095178731125</c:v>
                      </c:pt>
                      <c:pt idx="14">
                        <c:v>3410.4583859516115</c:v>
                      </c:pt>
                      <c:pt idx="15">
                        <c:v>3065.469360372098</c:v>
                      </c:pt>
                      <c:pt idx="16">
                        <c:v>2089.6766834670939</c:v>
                      </c:pt>
                      <c:pt idx="17">
                        <c:v>2293.9913428656537</c:v>
                      </c:pt>
                      <c:pt idx="18">
                        <c:v>2069.8475666703598</c:v>
                      </c:pt>
                      <c:pt idx="19">
                        <c:v>1876.5250304947485</c:v>
                      </c:pt>
                      <c:pt idx="20">
                        <c:v>1686.5836718590635</c:v>
                      </c:pt>
                      <c:pt idx="21">
                        <c:v>1550.4061253090272</c:v>
                      </c:pt>
                      <c:pt idx="22">
                        <c:v>1398.7469742931512</c:v>
                      </c:pt>
                      <c:pt idx="23">
                        <c:v>1318.1164280503162</c:v>
                      </c:pt>
                      <c:pt idx="24">
                        <c:v>1252.3556742158194</c:v>
                      </c:pt>
                      <c:pt idx="25">
                        <c:v>1213.6020049693175</c:v>
                      </c:pt>
                      <c:pt idx="26">
                        <c:v>1405.2636330371261</c:v>
                      </c:pt>
                      <c:pt idx="27">
                        <c:v>1262.0504757282642</c:v>
                      </c:pt>
                      <c:pt idx="28">
                        <c:v>1097.5520786361762</c:v>
                      </c:pt>
                      <c:pt idx="29">
                        <c:v>-10869.625044523464</c:v>
                      </c:pt>
                      <c:pt idx="30">
                        <c:v>0</c:v>
                      </c:pt>
                      <c:pt idx="31">
                        <c:v>0</c:v>
                      </c:pt>
                    </c:numCache>
                  </c:numRef>
                </c:val>
                <c:smooth val="0"/>
                <c:extLst xmlns:c15="http://schemas.microsoft.com/office/drawing/2012/chart">
                  <c:ext xmlns:c16="http://schemas.microsoft.com/office/drawing/2014/chart" uri="{C3380CC4-5D6E-409C-BE32-E72D297353CC}">
                    <c16:uniqueId val="{00000004-4D2E-4A1B-87F4-CE2CEDFA1D8E}"/>
                  </c:ext>
                </c:extLst>
              </c15:ser>
            </c15:filteredLineSeries>
          </c:ext>
        </c:extLst>
      </c:lineChart>
      <c:catAx>
        <c:axId val="134067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Ano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199289631"/>
        <c:crosses val="autoZero"/>
        <c:auto val="1"/>
        <c:lblAlgn val="ctr"/>
        <c:lblOffset val="100"/>
        <c:noMultiLvlLbl val="0"/>
      </c:catAx>
      <c:valAx>
        <c:axId val="11992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Milhões de Reais (R$</a:t>
                </a:r>
                <a:r>
                  <a:rPr lang="pt-BR" baseline="0"/>
                  <a:t> mi)</a:t>
                </a:r>
                <a:endParaRPr lang="pt-B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340672367"/>
        <c:crosses val="autoZero"/>
        <c:crossBetween val="between"/>
      </c:val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893451773189967E-2"/>
          <c:y val="1.8605191561050706E-2"/>
          <c:w val="0.90468312406895079"/>
          <c:h val="0.7530513009179699"/>
        </c:manualLayout>
      </c:layout>
      <c:barChart>
        <c:barDir val="col"/>
        <c:grouping val="clustered"/>
        <c:varyColors val="0"/>
        <c:ser>
          <c:idx val="0"/>
          <c:order val="5"/>
          <c:tx>
            <c:strRef>
              <c:f>'Gráficos - Monografia'!$A$181</c:f>
              <c:strCache>
                <c:ptCount val="1"/>
                <c:pt idx="0">
                  <c:v>Fluxo de Caixa Operacional</c:v>
                </c:pt>
              </c:strCache>
            </c:strRef>
          </c:tx>
          <c:spPr>
            <a:solidFill>
              <a:schemeClr val="bg1">
                <a:lumMod val="95000"/>
              </a:schemeClr>
            </a:solidFill>
            <a:ln w="12700">
              <a:solidFill>
                <a:schemeClr val="tx1"/>
              </a:solidFill>
            </a:ln>
            <a:effectLst/>
          </c:spPr>
          <c:invertIfNegative val="0"/>
          <c:cat>
            <c:numRef>
              <c:extLst>
                <c:ext xmlns:c15="http://schemas.microsoft.com/office/drawing/2012/chart" uri="{02D57815-91ED-43cb-92C2-25804820EDAC}">
                  <c15:fullRef>
                    <c15:sqref>'Gráficos - Monografia'!$B$169:$AR$169</c15:sqref>
                  </c15:fullRef>
                </c:ext>
              </c:extLst>
              <c:f>('Gráficos - Monografia'!$B$169:$AG$169,'Gráficos - Monografia'!$AR$169)</c:f>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xmlns:c15="http://schemas.microsoft.com/office/drawing/2012/chart" uri="{02D57815-91ED-43cb-92C2-25804820EDAC}">
                  <c15:fullRef>
                    <c15:sqref>'Gráficos - Monografia'!$B$181:$AQ$181</c15:sqref>
                  </c15:fullRef>
                </c:ext>
              </c:extLst>
              <c:f>'Gráficos - Monografia'!$B$181:$AG$181</c:f>
              <c:numCache>
                <c:formatCode>#,##0</c:formatCode>
                <c:ptCount val="32"/>
                <c:pt idx="0">
                  <c:v>6976.6399122074672</c:v>
                </c:pt>
                <c:pt idx="1">
                  <c:v>9762.6381758061852</c:v>
                </c:pt>
                <c:pt idx="2">
                  <c:v>10357.536365231545</c:v>
                </c:pt>
                <c:pt idx="3">
                  <c:v>10581.19021739573</c:v>
                </c:pt>
                <c:pt idx="4">
                  <c:v>10292.002187175398</c:v>
                </c:pt>
                <c:pt idx="5">
                  <c:v>10035.453427519751</c:v>
                </c:pt>
                <c:pt idx="6">
                  <c:v>9468.0364422909206</c:v>
                </c:pt>
                <c:pt idx="7">
                  <c:v>8280.208351360463</c:v>
                </c:pt>
                <c:pt idx="8">
                  <c:v>7239.8563349772585</c:v>
                </c:pt>
                <c:pt idx="9">
                  <c:v>6321.7078680402637</c:v>
                </c:pt>
                <c:pt idx="10">
                  <c:v>5680.825113707715</c:v>
                </c:pt>
                <c:pt idx="11">
                  <c:v>5027.3709017315969</c:v>
                </c:pt>
                <c:pt idx="12">
                  <c:v>4383.4299427459528</c:v>
                </c:pt>
                <c:pt idx="13">
                  <c:v>3805.7953840100345</c:v>
                </c:pt>
                <c:pt idx="14">
                  <c:v>3413.2275412667277</c:v>
                </c:pt>
                <c:pt idx="15">
                  <c:v>3099.8646781932607</c:v>
                </c:pt>
                <c:pt idx="16">
                  <c:v>1970.4476903904406</c:v>
                </c:pt>
                <c:pt idx="17">
                  <c:v>2367.8377770538914</c:v>
                </c:pt>
                <c:pt idx="18">
                  <c:v>2166.3408105391818</c:v>
                </c:pt>
                <c:pt idx="19">
                  <c:v>1985.6206017762968</c:v>
                </c:pt>
                <c:pt idx="20">
                  <c:v>1827.5428315804074</c:v>
                </c:pt>
                <c:pt idx="21">
                  <c:v>1686.5617790358983</c:v>
                </c:pt>
                <c:pt idx="22">
                  <c:v>1584.288800138268</c:v>
                </c:pt>
                <c:pt idx="23">
                  <c:v>1522.8434755103785</c:v>
                </c:pt>
                <c:pt idx="24">
                  <c:v>1471.0807078210462</c:v>
                </c:pt>
                <c:pt idx="25">
                  <c:v>1408.0158865064161</c:v>
                </c:pt>
                <c:pt idx="26">
                  <c:v>1376.825435987548</c:v>
                </c:pt>
                <c:pt idx="27">
                  <c:v>1247.8496661323552</c:v>
                </c:pt>
                <c:pt idx="28">
                  <c:v>905.52910129848874</c:v>
                </c:pt>
                <c:pt idx="29">
                  <c:v>-10869.625044523464</c:v>
                </c:pt>
                <c:pt idx="30">
                  <c:v>0</c:v>
                </c:pt>
                <c:pt idx="31">
                  <c:v>0</c:v>
                </c:pt>
              </c:numCache>
            </c:numRef>
          </c:val>
          <c:extLst>
            <c:ext xmlns:c16="http://schemas.microsoft.com/office/drawing/2014/chart" uri="{C3380CC4-5D6E-409C-BE32-E72D297353CC}">
              <c16:uniqueId val="{00000005-AD2F-4141-90B1-2447512DC664}"/>
            </c:ext>
          </c:extLst>
        </c:ser>
        <c:dLbls>
          <c:showLegendKey val="0"/>
          <c:showVal val="0"/>
          <c:showCatName val="0"/>
          <c:showSerName val="0"/>
          <c:showPercent val="0"/>
          <c:showBubbleSize val="0"/>
        </c:dLbls>
        <c:gapWidth val="150"/>
        <c:axId val="1340672367"/>
        <c:axId val="1199289631"/>
        <c:extLst>
          <c:ext xmlns:c15="http://schemas.microsoft.com/office/drawing/2012/chart" uri="{02D57815-91ED-43cb-92C2-25804820EDAC}">
            <c15:filteredBarSeries>
              <c15:ser>
                <c:idx val="2"/>
                <c:order val="0"/>
                <c:tx>
                  <c:strRef>
                    <c:extLst>
                      <c:ext uri="{02D57815-91ED-43cb-92C2-25804820EDAC}">
                        <c15:formulaRef>
                          <c15:sqref>'Gráficos - Monografia'!$A$178</c15:sqref>
                        </c15:formulaRef>
                      </c:ext>
                    </c:extLst>
                    <c:strCache>
                      <c:ptCount val="1"/>
                      <c:pt idx="0">
                        <c:v>Depreciação/Amortizações</c:v>
                      </c:pt>
                    </c:strCache>
                  </c:strRef>
                </c:tx>
                <c:spPr>
                  <a:solidFill>
                    <a:schemeClr val="accent3"/>
                  </a:solidFill>
                  <a:ln w="12700">
                    <a:solidFill>
                      <a:schemeClr val="tx1"/>
                    </a:solidFill>
                  </a:ln>
                  <a:effectLst/>
                </c:spPr>
                <c:invertIfNegative val="0"/>
                <c:cat>
                  <c:numRef>
                    <c:extLst>
                      <c:ext uri="{02D57815-91ED-43cb-92C2-25804820EDAC}">
                        <c15:fullRef>
                          <c15:sqref>'Gráficos - Monografia'!$B$169:$AR$169</c15:sqref>
                        </c15:fullRef>
                        <c15:formulaRef>
                          <c15:sqref>('Gráficos - Monografia'!$B$169:$AG$169,'Gráficos - Monografia'!$AR$169)</c15:sqref>
                        </c15:formulaRef>
                      </c:ext>
                    </c:extLst>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uri="{02D57815-91ED-43cb-92C2-25804820EDAC}">
                        <c15:fullRef>
                          <c15:sqref>'Gráficos - Monografia'!$B$178:$AQ$178</c15:sqref>
                        </c15:fullRef>
                        <c15:formulaRef>
                          <c15:sqref>'Gráficos - Monografia'!$B$178:$AG$178</c15:sqref>
                        </c15:formulaRef>
                      </c:ext>
                    </c:extLst>
                    <c:numCache>
                      <c:formatCode>#,##0</c:formatCode>
                      <c:ptCount val="32"/>
                      <c:pt idx="0">
                        <c:v>1596.9531915402797</c:v>
                      </c:pt>
                      <c:pt idx="1">
                        <c:v>1891.224984240544</c:v>
                      </c:pt>
                      <c:pt idx="2">
                        <c:v>2219.4582125376492</c:v>
                      </c:pt>
                      <c:pt idx="3">
                        <c:v>2392.3301476040915</c:v>
                      </c:pt>
                      <c:pt idx="4">
                        <c:v>2655.3508833659366</c:v>
                      </c:pt>
                      <c:pt idx="5">
                        <c:v>2587.6981410118365</c:v>
                      </c:pt>
                      <c:pt idx="6">
                        <c:v>2369.0125761991999</c:v>
                      </c:pt>
                      <c:pt idx="7">
                        <c:v>2064.7267952979869</c:v>
                      </c:pt>
                      <c:pt idx="8">
                        <c:v>1828.137374014656</c:v>
                      </c:pt>
                      <c:pt idx="9">
                        <c:v>1639.3550532193231</c:v>
                      </c:pt>
                      <c:pt idx="10">
                        <c:v>1457.6845995409428</c:v>
                      </c:pt>
                      <c:pt idx="11">
                        <c:v>1283.1199727102191</c:v>
                      </c:pt>
                      <c:pt idx="12">
                        <c:v>1140.9963347259759</c:v>
                      </c:pt>
                      <c:pt idx="13">
                        <c:v>1046.6193330039277</c:v>
                      </c:pt>
                      <c:pt idx="14">
                        <c:v>932.58941753807062</c:v>
                      </c:pt>
                      <c:pt idx="15">
                        <c:v>761.804332869164</c:v>
                      </c:pt>
                      <c:pt idx="16">
                        <c:v>696.69733130685336</c:v>
                      </c:pt>
                      <c:pt idx="17">
                        <c:v>643.18237575193064</c:v>
                      </c:pt>
                      <c:pt idx="18">
                        <c:v>595.39629467051498</c:v>
                      </c:pt>
                      <c:pt idx="19">
                        <c:v>564.35475797985077</c:v>
                      </c:pt>
                      <c:pt idx="20">
                        <c:v>528.54482289560906</c:v>
                      </c:pt>
                      <c:pt idx="21">
                        <c:v>521.83892808162614</c:v>
                      </c:pt>
                      <c:pt idx="22">
                        <c:v>528.27217103676367</c:v>
                      </c:pt>
                      <c:pt idx="23">
                        <c:v>547.8347497868856</c:v>
                      </c:pt>
                      <c:pt idx="24">
                        <c:v>553.6994209799501</c:v>
                      </c:pt>
                      <c:pt idx="25">
                        <c:v>603.08183312543747</c:v>
                      </c:pt>
                      <c:pt idx="26">
                        <c:v>717.3235814515607</c:v>
                      </c:pt>
                      <c:pt idx="27">
                        <c:v>453.47301428149234</c:v>
                      </c:pt>
                      <c:pt idx="28">
                        <c:v>10.173088515200186</c:v>
                      </c:pt>
                      <c:pt idx="29">
                        <c:v>0</c:v>
                      </c:pt>
                      <c:pt idx="30">
                        <c:v>0</c:v>
                      </c:pt>
                      <c:pt idx="31">
                        <c:v>0</c:v>
                      </c:pt>
                    </c:numCache>
                  </c:numRef>
                </c:val>
                <c:extLst>
                  <c:ext xmlns:c16="http://schemas.microsoft.com/office/drawing/2014/chart" uri="{C3380CC4-5D6E-409C-BE32-E72D297353CC}">
                    <c16:uniqueId val="{00000000-AD2F-4141-90B1-2447512DC664}"/>
                  </c:ext>
                </c:extLst>
              </c15:ser>
            </c15:filteredBarSeries>
            <c15:filteredBarSeries>
              <c15:ser>
                <c:idx val="3"/>
                <c:order val="1"/>
                <c:tx>
                  <c:strRef>
                    <c:extLst xmlns:c15="http://schemas.microsoft.com/office/drawing/2012/chart">
                      <c:ext xmlns:c15="http://schemas.microsoft.com/office/drawing/2012/chart" uri="{02D57815-91ED-43cb-92C2-25804820EDAC}">
                        <c15:formulaRef>
                          <c15:sqref>'Gráficos - Monografia'!$A$179</c15:sqref>
                        </c15:formulaRef>
                      </c:ext>
                    </c:extLst>
                    <c:strCache>
                      <c:ptCount val="1"/>
                      <c:pt idx="0">
                        <c:v>Abandono</c:v>
                      </c:pt>
                    </c:strCache>
                  </c:strRef>
                </c:tx>
                <c:spPr>
                  <a:solidFill>
                    <a:schemeClr val="accent4"/>
                  </a:solidFill>
                  <a:ln w="12700">
                    <a:solidFill>
                      <a:schemeClr val="tx1"/>
                    </a:solidFill>
                  </a:ln>
                  <a:effectLst/>
                </c:spPr>
                <c:invertIfNegative val="0"/>
                <c:cat>
                  <c:numRef>
                    <c:extLst>
                      <c:ext xmlns:c15="http://schemas.microsoft.com/office/drawing/2012/chart" uri="{02D57815-91ED-43cb-92C2-25804820EDAC}">
                        <c15:fullRef>
                          <c15:sqref>'Gráficos - Monografia'!$B$169:$AR$169</c15:sqref>
                        </c15:fullRef>
                        <c15:formulaRef>
                          <c15:sqref>('Gráficos - Monografia'!$B$169:$AG$169,'Gráficos - Monografia'!$AR$169)</c15:sqref>
                        </c15:formulaRef>
                      </c:ext>
                    </c:extLst>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xmlns:c15="http://schemas.microsoft.com/office/drawing/2012/chart" uri="{02D57815-91ED-43cb-92C2-25804820EDAC}">
                        <c15:fullRef>
                          <c15:sqref>'Gráficos - Monografia'!$B$179:$AQ$179</c15:sqref>
                        </c15:fullRef>
                        <c15:formulaRef>
                          <c15:sqref>'Gráficos - Monografia'!$B$179:$AG$179</c15:sqref>
                        </c15:formulaRef>
                      </c:ext>
                    </c:extLst>
                    <c:numCache>
                      <c:formatCode>#,##0</c:formatCode>
                      <c:ptCount val="32"/>
                      <c:pt idx="0">
                        <c:v>-57.710249999999988</c:v>
                      </c:pt>
                      <c:pt idx="1">
                        <c:v>-58.866841799999989</c:v>
                      </c:pt>
                      <c:pt idx="2">
                        <c:v>-121.7268</c:v>
                      </c:pt>
                      <c:pt idx="3">
                        <c:v>0</c:v>
                      </c:pt>
                      <c:pt idx="4">
                        <c:v>-64.588726987199991</c:v>
                      </c:pt>
                      <c:pt idx="5">
                        <c:v>-66.526388796815993</c:v>
                      </c:pt>
                      <c:pt idx="6">
                        <c:v>0</c:v>
                      </c:pt>
                      <c:pt idx="7">
                        <c:v>0</c:v>
                      </c:pt>
                      <c:pt idx="8">
                        <c:v>0</c:v>
                      </c:pt>
                      <c:pt idx="9">
                        <c:v>0</c:v>
                      </c:pt>
                      <c:pt idx="10">
                        <c:v>0</c:v>
                      </c:pt>
                      <c:pt idx="11">
                        <c:v>0</c:v>
                      </c:pt>
                      <c:pt idx="12">
                        <c:v>0</c:v>
                      </c:pt>
                      <c:pt idx="13">
                        <c:v>0</c:v>
                      </c:pt>
                      <c:pt idx="14">
                        <c:v>0</c:v>
                      </c:pt>
                      <c:pt idx="15">
                        <c:v>0</c:v>
                      </c:pt>
                      <c:pt idx="16">
                        <c:v>-732.7692572934875</c:v>
                      </c:pt>
                      <c:pt idx="17">
                        <c:v>0</c:v>
                      </c:pt>
                      <c:pt idx="18">
                        <c:v>0</c:v>
                      </c:pt>
                      <c:pt idx="19">
                        <c:v>0</c:v>
                      </c:pt>
                      <c:pt idx="20">
                        <c:v>0</c:v>
                      </c:pt>
                      <c:pt idx="21">
                        <c:v>0</c:v>
                      </c:pt>
                      <c:pt idx="22">
                        <c:v>0</c:v>
                      </c:pt>
                      <c:pt idx="23">
                        <c:v>0</c:v>
                      </c:pt>
                      <c:pt idx="24">
                        <c:v>0</c:v>
                      </c:pt>
                      <c:pt idx="25">
                        <c:v>0</c:v>
                      </c:pt>
                      <c:pt idx="26">
                        <c:v>0</c:v>
                      </c:pt>
                      <c:pt idx="27">
                        <c:v>0</c:v>
                      </c:pt>
                      <c:pt idx="28">
                        <c:v>0</c:v>
                      </c:pt>
                      <c:pt idx="29">
                        <c:v>-10869.625044523464</c:v>
                      </c:pt>
                      <c:pt idx="30">
                        <c:v>0</c:v>
                      </c:pt>
                      <c:pt idx="31">
                        <c:v>0</c:v>
                      </c:pt>
                    </c:numCache>
                  </c:numRef>
                </c:val>
                <c:extLst xmlns:c15="http://schemas.microsoft.com/office/drawing/2012/chart">
                  <c:ext xmlns:c16="http://schemas.microsoft.com/office/drawing/2014/chart" uri="{C3380CC4-5D6E-409C-BE32-E72D297353CC}">
                    <c16:uniqueId val="{00000001-AD2F-4141-90B1-2447512DC664}"/>
                  </c:ext>
                </c:extLst>
              </c15:ser>
            </c15:filteredBarSeries>
            <c15:filteredBarSeries>
              <c15:ser>
                <c:idx val="4"/>
                <c:order val="2"/>
                <c:tx>
                  <c:strRef>
                    <c:extLst xmlns:c15="http://schemas.microsoft.com/office/drawing/2012/chart">
                      <c:ext xmlns:c15="http://schemas.microsoft.com/office/drawing/2012/chart" uri="{02D57815-91ED-43cb-92C2-25804820EDAC}">
                        <c15:formulaRef>
                          <c15:sqref>'Gráficos - Monografia'!$A$180</c15:sqref>
                        </c15:formulaRef>
                      </c:ext>
                    </c:extLst>
                    <c:strCache>
                      <c:ptCount val="1"/>
                      <c:pt idx="0">
                        <c:v>Variação do Capital de Giro</c:v>
                      </c:pt>
                    </c:strCache>
                  </c:strRef>
                </c:tx>
                <c:spPr>
                  <a:solidFill>
                    <a:schemeClr val="accent5"/>
                  </a:solidFill>
                  <a:ln w="12700">
                    <a:solidFill>
                      <a:schemeClr val="tx1"/>
                    </a:solidFill>
                  </a:ln>
                  <a:effectLst/>
                </c:spPr>
                <c:invertIfNegative val="0"/>
                <c:cat>
                  <c:numRef>
                    <c:extLst>
                      <c:ext xmlns:c15="http://schemas.microsoft.com/office/drawing/2012/chart" uri="{02D57815-91ED-43cb-92C2-25804820EDAC}">
                        <c15:fullRef>
                          <c15:sqref>'Gráficos - Monografia'!$B$169:$AR$169</c15:sqref>
                        </c15:fullRef>
                        <c15:formulaRef>
                          <c15:sqref>('Gráficos - Monografia'!$B$169:$AG$169,'Gráficos - Monografia'!$AR$169)</c15:sqref>
                        </c15:formulaRef>
                      </c:ext>
                    </c:extLst>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xmlns:c15="http://schemas.microsoft.com/office/drawing/2012/chart" uri="{02D57815-91ED-43cb-92C2-25804820EDAC}">
                        <c15:fullRef>
                          <c15:sqref>'Gráficos - Monografia'!$B$180:$AQ$180</c15:sqref>
                        </c15:fullRef>
                        <c15:formulaRef>
                          <c15:sqref>'Gráficos - Monografia'!$B$180:$AG$180</c15:sqref>
                        </c15:formulaRef>
                      </c:ext>
                    </c:extLst>
                    <c:numCache>
                      <c:formatCode>#,##0</c:formatCode>
                      <c:ptCount val="32"/>
                      <c:pt idx="0">
                        <c:v>-1082.6085989700173</c:v>
                      </c:pt>
                      <c:pt idx="1">
                        <c:v>-580.48134218906705</c:v>
                      </c:pt>
                      <c:pt idx="2">
                        <c:v>34.394185195168482</c:v>
                      </c:pt>
                      <c:pt idx="3">
                        <c:v>-15.756499500703532</c:v>
                      </c:pt>
                      <c:pt idx="4">
                        <c:v>200.52097917740372</c:v>
                      </c:pt>
                      <c:pt idx="5">
                        <c:v>13.530800975340419</c:v>
                      </c:pt>
                      <c:pt idx="6">
                        <c:v>287.95682717192636</c:v>
                      </c:pt>
                      <c:pt idx="7">
                        <c:v>403.67556671605769</c:v>
                      </c:pt>
                      <c:pt idx="8">
                        <c:v>244.38426108784438</c:v>
                      </c:pt>
                      <c:pt idx="9">
                        <c:v>196.66342060175981</c:v>
                      </c:pt>
                      <c:pt idx="10">
                        <c:v>168.45813702328411</c:v>
                      </c:pt>
                      <c:pt idx="11">
                        <c:v>171.85625586552359</c:v>
                      </c:pt>
                      <c:pt idx="12">
                        <c:v>176.06042563267403</c:v>
                      </c:pt>
                      <c:pt idx="13">
                        <c:v>147.34130428998614</c:v>
                      </c:pt>
                      <c:pt idx="14">
                        <c:v>107.73225064288185</c:v>
                      </c:pt>
                      <c:pt idx="15">
                        <c:v>82.225582530084878</c:v>
                      </c:pt>
                      <c:pt idx="16">
                        <c:v>189.31420478327701</c:v>
                      </c:pt>
                      <c:pt idx="17">
                        <c:v>78.444894486394475</c:v>
                      </c:pt>
                      <c:pt idx="18">
                        <c:v>69.787769434820163</c:v>
                      </c:pt>
                      <c:pt idx="19">
                        <c:v>65.991442436840728</c:v>
                      </c:pt>
                      <c:pt idx="20">
                        <c:v>51.827280256567349</c:v>
                      </c:pt>
                      <c:pt idx="21">
                        <c:v>56.934347450671602</c:v>
                      </c:pt>
                      <c:pt idx="22">
                        <c:v>32.785039290965969</c:v>
                      </c:pt>
                      <c:pt idx="23">
                        <c:v>25.605301720787015</c:v>
                      </c:pt>
                      <c:pt idx="24">
                        <c:v>22.200317614023195</c:v>
                      </c:pt>
                      <c:pt idx="25">
                        <c:v>39.563841039256481</c:v>
                      </c:pt>
                      <c:pt idx="26">
                        <c:v>22.550319884034952</c:v>
                      </c:pt>
                      <c:pt idx="27">
                        <c:v>14.216320325330628</c:v>
                      </c:pt>
                      <c:pt idx="28">
                        <c:v>118.81697771128709</c:v>
                      </c:pt>
                      <c:pt idx="29">
                        <c:v>0</c:v>
                      </c:pt>
                      <c:pt idx="30">
                        <c:v>0</c:v>
                      </c:pt>
                      <c:pt idx="31">
                        <c:v>0</c:v>
                      </c:pt>
                    </c:numCache>
                  </c:numRef>
                </c:val>
                <c:extLst xmlns:c15="http://schemas.microsoft.com/office/drawing/2012/chart">
                  <c:ext xmlns:c16="http://schemas.microsoft.com/office/drawing/2014/chart" uri="{C3380CC4-5D6E-409C-BE32-E72D297353CC}">
                    <c16:uniqueId val="{00000002-AD2F-4141-90B1-2447512DC664}"/>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'Gráficos - Monografia'!$A$183</c15:sqref>
                        </c15:formulaRef>
                      </c:ext>
                    </c:extLst>
                    <c:strCache>
                      <c:ptCount val="1"/>
                      <c:pt idx="0">
                        <c:v>Variação da Dívida Líquida</c:v>
                      </c:pt>
                    </c:strCache>
                  </c:strRef>
                </c:tx>
                <c:spPr>
                  <a:solidFill>
                    <a:schemeClr val="accent6"/>
                  </a:solidFill>
                  <a:ln w="12700">
                    <a:solidFill>
                      <a:schemeClr val="tx1"/>
                    </a:solidFill>
                  </a:ln>
                  <a:effectLst/>
                </c:spPr>
                <c:invertIfNegative val="0"/>
                <c:cat>
                  <c:numRef>
                    <c:extLst>
                      <c:ext xmlns:c15="http://schemas.microsoft.com/office/drawing/2012/chart" uri="{02D57815-91ED-43cb-92C2-25804820EDAC}">
                        <c15:fullRef>
                          <c15:sqref>'Gráficos - Monografia'!$B$169:$AR$169</c15:sqref>
                        </c15:fullRef>
                        <c15:formulaRef>
                          <c15:sqref>('Gráficos - Monografia'!$B$169:$AG$169,'Gráficos - Monografia'!$AR$169)</c15:sqref>
                        </c15:formulaRef>
                      </c:ext>
                    </c:extLst>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xmlns:c15="http://schemas.microsoft.com/office/drawing/2012/chart" uri="{02D57815-91ED-43cb-92C2-25804820EDAC}">
                        <c15:fullRef>
                          <c15:sqref>'Gráficos - Monografia'!$B$183:$AQ$183</c15:sqref>
                        </c15:fullRef>
                        <c15:formulaRef>
                          <c15:sqref>'Gráficos - Monografia'!$B$183:$AG$183</c15:sqref>
                        </c15:formulaRef>
                      </c:ext>
                    </c:extLst>
                    <c:numCache>
                      <c:formatCode>#,##0</c:formatCode>
                      <c:ptCount val="32"/>
                      <c:pt idx="0">
                        <c:v>-2927.860289411361</c:v>
                      </c:pt>
                      <c:pt idx="1">
                        <c:v>-2358.6130355949017</c:v>
                      </c:pt>
                      <c:pt idx="2">
                        <c:v>-3249.675955458556</c:v>
                      </c:pt>
                      <c:pt idx="3">
                        <c:v>-905.21040074048778</c:v>
                      </c:pt>
                      <c:pt idx="4">
                        <c:v>-756.65530500743444</c:v>
                      </c:pt>
                      <c:pt idx="5">
                        <c:v>-57.008682623194545</c:v>
                      </c:pt>
                      <c:pt idx="6">
                        <c:v>455.04675059220978</c:v>
                      </c:pt>
                      <c:pt idx="7">
                        <c:v>684.51553455207568</c:v>
                      </c:pt>
                      <c:pt idx="8">
                        <c:v>443.35238758296373</c:v>
                      </c:pt>
                      <c:pt idx="9">
                        <c:v>361.26329089177534</c:v>
                      </c:pt>
                      <c:pt idx="10">
                        <c:v>302.41855638163361</c:v>
                      </c:pt>
                      <c:pt idx="11">
                        <c:v>307.09470968286951</c:v>
                      </c:pt>
                      <c:pt idx="12">
                        <c:v>309.77288108693756</c:v>
                      </c:pt>
                      <c:pt idx="13">
                        <c:v>264.2283705540558</c:v>
                      </c:pt>
                      <c:pt idx="14">
                        <c:v>189.96973478251289</c:v>
                      </c:pt>
                      <c:pt idx="15">
                        <c:v>163.81290479372024</c:v>
                      </c:pt>
                      <c:pt idx="16">
                        <c:v>323.08614049065204</c:v>
                      </c:pt>
                      <c:pt idx="17">
                        <c:v>135.81312809331598</c:v>
                      </c:pt>
                      <c:pt idx="18">
                        <c:v>119.15926273211358</c:v>
                      </c:pt>
                      <c:pt idx="19">
                        <c:v>112.71271725237602</c:v>
                      </c:pt>
                      <c:pt idx="20">
                        <c:v>87.207043441012843</c:v>
                      </c:pt>
                      <c:pt idx="21">
                        <c:v>98.541218488193522</c:v>
                      </c:pt>
                      <c:pt idx="22">
                        <c:v>55.90015799925186</c:v>
                      </c:pt>
                      <c:pt idx="23">
                        <c:v>43.643323182323911</c:v>
                      </c:pt>
                      <c:pt idx="24">
                        <c:v>36.801225964688228</c:v>
                      </c:pt>
                      <c:pt idx="25">
                        <c:v>68.462703586833186</c:v>
                      </c:pt>
                      <c:pt idx="26">
                        <c:v>38.611285564778086</c:v>
                      </c:pt>
                      <c:pt idx="27">
                        <c:v>24.373898111109156</c:v>
                      </c:pt>
                      <c:pt idx="28">
                        <c:v>202.19606585288761</c:v>
                      </c:pt>
                      <c:pt idx="29">
                        <c:v>0</c:v>
                      </c:pt>
                      <c:pt idx="30">
                        <c:v>0</c:v>
                      </c:pt>
                      <c:pt idx="31">
                        <c:v>0</c:v>
                      </c:pt>
                    </c:numCache>
                  </c:numRef>
                </c:val>
                <c:extLst xmlns:c15="http://schemas.microsoft.com/office/drawing/2012/chart">
                  <c:ext xmlns:c16="http://schemas.microsoft.com/office/drawing/2014/chart" uri="{C3380CC4-5D6E-409C-BE32-E72D297353CC}">
                    <c16:uniqueId val="{00000003-AD2F-4141-90B1-2447512DC664}"/>
                  </c:ext>
                </c:extLst>
              </c15:ser>
            </c15:filteredBarSeries>
            <c15:filteredBarSeries>
              <c15:ser>
                <c:idx val="6"/>
                <c:order val="4"/>
                <c:tx>
                  <c:strRef>
                    <c:extLst xmlns:c15="http://schemas.microsoft.com/office/drawing/2012/chart">
                      <c:ext xmlns:c15="http://schemas.microsoft.com/office/drawing/2012/chart" uri="{02D57815-91ED-43cb-92C2-25804820EDAC}">
                        <c15:formulaRef>
                          <c15:sqref>'Gráficos - Monografia'!$A$185</c15:sqref>
                        </c15:formulaRef>
                      </c:ext>
                    </c:extLst>
                    <c:strCache>
                      <c:ptCount val="1"/>
                      <c:pt idx="0">
                        <c:v>Fluxo de Caixa dos Acionistas</c:v>
                      </c:pt>
                    </c:strCache>
                  </c:strRef>
                </c:tx>
                <c:spPr>
                  <a:solidFill>
                    <a:schemeClr val="accent1">
                      <a:lumMod val="60000"/>
                    </a:schemeClr>
                  </a:solidFill>
                  <a:ln w="12700">
                    <a:solidFill>
                      <a:schemeClr val="tx1"/>
                    </a:solidFill>
                  </a:ln>
                  <a:effectLst/>
                </c:spPr>
                <c:invertIfNegative val="0"/>
                <c:cat>
                  <c:numRef>
                    <c:extLst>
                      <c:ext xmlns:c15="http://schemas.microsoft.com/office/drawing/2012/chart" uri="{02D57815-91ED-43cb-92C2-25804820EDAC}">
                        <c15:fullRef>
                          <c15:sqref>'Gráficos - Monografia'!$B$169:$AR$169</c15:sqref>
                        </c15:fullRef>
                        <c15:formulaRef>
                          <c15:sqref>('Gráficos - Monografia'!$B$169:$AG$169,'Gráficos - Monografia'!$AR$169)</c15:sqref>
                        </c15:formulaRef>
                      </c:ext>
                    </c:extLst>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xmlns:c15="http://schemas.microsoft.com/office/drawing/2012/chart" uri="{02D57815-91ED-43cb-92C2-25804820EDAC}">
                        <c15:fullRef>
                          <c15:sqref>'Gráficos - Monografia'!$B$185:$AQ$185</c15:sqref>
                        </c15:fullRef>
                        <c15:formulaRef>
                          <c15:sqref>'Gráficos - Monografia'!$B$185:$AG$185</c15:sqref>
                        </c15:formulaRef>
                      </c:ext>
                    </c:extLst>
                    <c:numCache>
                      <c:formatCode>#,##0</c:formatCode>
                      <c:ptCount val="32"/>
                      <c:pt idx="0">
                        <c:v>2028.8765732809061</c:v>
                      </c:pt>
                      <c:pt idx="1">
                        <c:v>5389.6642516960828</c:v>
                      </c:pt>
                      <c:pt idx="2">
                        <c:v>5475.2076585377881</c:v>
                      </c:pt>
                      <c:pt idx="3">
                        <c:v>8046.4611559760424</c:v>
                      </c:pt>
                      <c:pt idx="4">
                        <c:v>8215.1101554037559</c:v>
                      </c:pt>
                      <c:pt idx="5">
                        <c:v>8604.4863720627654</c:v>
                      </c:pt>
                      <c:pt idx="6">
                        <c:v>9678.013727109932</c:v>
                      </c:pt>
                      <c:pt idx="7">
                        <c:v>8712.6135611161189</c:v>
                      </c:pt>
                      <c:pt idx="8">
                        <c:v>7423.8340674120118</c:v>
                      </c:pt>
                      <c:pt idx="9">
                        <c:v>6416.1268564460934</c:v>
                      </c:pt>
                      <c:pt idx="10">
                        <c:v>5708.6926395331884</c:v>
                      </c:pt>
                      <c:pt idx="11">
                        <c:v>5051.9900319977023</c:v>
                      </c:pt>
                      <c:pt idx="12">
                        <c:v>4402.5511766064355</c:v>
                      </c:pt>
                      <c:pt idx="13">
                        <c:v>3882.6095178731125</c:v>
                      </c:pt>
                      <c:pt idx="14">
                        <c:v>3410.4583859516115</c:v>
                      </c:pt>
                      <c:pt idx="15">
                        <c:v>3065.469360372098</c:v>
                      </c:pt>
                      <c:pt idx="16">
                        <c:v>2089.6766834670939</c:v>
                      </c:pt>
                      <c:pt idx="17">
                        <c:v>2293.9913428656537</c:v>
                      </c:pt>
                      <c:pt idx="18">
                        <c:v>2069.8475666703598</c:v>
                      </c:pt>
                      <c:pt idx="19">
                        <c:v>1876.5250304947485</c:v>
                      </c:pt>
                      <c:pt idx="20">
                        <c:v>1686.5836718590635</c:v>
                      </c:pt>
                      <c:pt idx="21">
                        <c:v>1550.4061253090272</c:v>
                      </c:pt>
                      <c:pt idx="22">
                        <c:v>1398.7469742931512</c:v>
                      </c:pt>
                      <c:pt idx="23">
                        <c:v>1318.1164280503162</c:v>
                      </c:pt>
                      <c:pt idx="24">
                        <c:v>1252.3556742158194</c:v>
                      </c:pt>
                      <c:pt idx="25">
                        <c:v>1213.6020049693175</c:v>
                      </c:pt>
                      <c:pt idx="26">
                        <c:v>1405.2636330371261</c:v>
                      </c:pt>
                      <c:pt idx="27">
                        <c:v>1262.0504757282642</c:v>
                      </c:pt>
                      <c:pt idx="28">
                        <c:v>1097.5520786361762</c:v>
                      </c:pt>
                      <c:pt idx="29">
                        <c:v>-10869.625044523464</c:v>
                      </c:pt>
                      <c:pt idx="30">
                        <c:v>0</c:v>
                      </c:pt>
                      <c:pt idx="31">
                        <c:v>0</c:v>
                      </c:pt>
                    </c:numCache>
                  </c:numRef>
                </c:val>
                <c:extLst xmlns:c15="http://schemas.microsoft.com/office/drawing/2012/chart">
                  <c:ext xmlns:c16="http://schemas.microsoft.com/office/drawing/2014/chart" uri="{C3380CC4-5D6E-409C-BE32-E72D297353CC}">
                    <c16:uniqueId val="{00000004-AD2F-4141-90B1-2447512DC664}"/>
                  </c:ext>
                </c:extLst>
              </c15:ser>
            </c15:filteredBarSeries>
          </c:ext>
        </c:extLst>
      </c:barChart>
      <c:catAx>
        <c:axId val="134067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199289631"/>
        <c:crosses val="autoZero"/>
        <c:auto val="1"/>
        <c:lblAlgn val="ctr"/>
        <c:lblOffset val="100"/>
        <c:noMultiLvlLbl val="0"/>
      </c:catAx>
      <c:valAx>
        <c:axId val="11992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Milhões de Reais</a:t>
                </a:r>
                <a:r>
                  <a:rPr lang="pt-BR" baseline="0"/>
                  <a:t> (R$ mi)</a:t>
                </a:r>
                <a:endParaRPr lang="pt-B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340672367"/>
        <c:crosses val="autoZero"/>
        <c:crossBetween val="between"/>
      </c:val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893451773189967E-2"/>
          <c:y val="1.8605191561050706E-2"/>
          <c:w val="0.90468312406895079"/>
          <c:h val="0.75687811277605788"/>
        </c:manualLayout>
      </c:layout>
      <c:barChart>
        <c:barDir val="col"/>
        <c:grouping val="clustered"/>
        <c:varyColors val="0"/>
        <c:ser>
          <c:idx val="6"/>
          <c:order val="4"/>
          <c:tx>
            <c:strRef>
              <c:f>'Gráficos - Monografia'!$A$185</c:f>
              <c:strCache>
                <c:ptCount val="1"/>
                <c:pt idx="0">
                  <c:v>Fluxo de Caixa dos Acionistas</c:v>
                </c:pt>
              </c:strCache>
              <c:extLst xmlns:c15="http://schemas.microsoft.com/office/drawing/2012/chart"/>
            </c:strRef>
          </c:tx>
          <c:spPr>
            <a:solidFill>
              <a:schemeClr val="bg1">
                <a:lumMod val="85000"/>
              </a:schemeClr>
            </a:solidFill>
            <a:ln w="12700">
              <a:solidFill>
                <a:schemeClr val="tx1"/>
              </a:solidFill>
            </a:ln>
            <a:effectLst/>
          </c:spPr>
          <c:invertIfNegative val="0"/>
          <c:cat>
            <c:numRef>
              <c:extLst>
                <c:ext xmlns:c15="http://schemas.microsoft.com/office/drawing/2012/chart" uri="{02D57815-91ED-43cb-92C2-25804820EDAC}">
                  <c15:fullRef>
                    <c15:sqref>'Gráficos - Monografia'!$B$169:$AR$169</c15:sqref>
                  </c15:fullRef>
                </c:ext>
              </c:extLst>
              <c:f>('Gráficos - Monografia'!$B$169:$AG$169,'Gráficos - Monografia'!$AR$169)</c:f>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xmlns:c15="http://schemas.microsoft.com/office/drawing/2012/chart" uri="{02D57815-91ED-43cb-92C2-25804820EDAC}">
                  <c15:fullRef>
                    <c15:sqref>'Gráficos - Monografia'!$B$185:$AQ$185</c15:sqref>
                  </c15:fullRef>
                </c:ext>
              </c:extLst>
              <c:f>'Gráficos - Monografia'!$B$185:$AG$185</c:f>
              <c:numCache>
                <c:formatCode>#,##0</c:formatCode>
                <c:ptCount val="32"/>
                <c:pt idx="0">
                  <c:v>2028.8765732809061</c:v>
                </c:pt>
                <c:pt idx="1">
                  <c:v>5389.6642516960828</c:v>
                </c:pt>
                <c:pt idx="2">
                  <c:v>5475.2076585377881</c:v>
                </c:pt>
                <c:pt idx="3">
                  <c:v>8046.4611559760424</c:v>
                </c:pt>
                <c:pt idx="4">
                  <c:v>8215.1101554037559</c:v>
                </c:pt>
                <c:pt idx="5">
                  <c:v>8604.4863720627654</c:v>
                </c:pt>
                <c:pt idx="6">
                  <c:v>9678.013727109932</c:v>
                </c:pt>
                <c:pt idx="7">
                  <c:v>8712.6135611161189</c:v>
                </c:pt>
                <c:pt idx="8">
                  <c:v>7423.8340674120118</c:v>
                </c:pt>
                <c:pt idx="9">
                  <c:v>6416.1268564460934</c:v>
                </c:pt>
                <c:pt idx="10">
                  <c:v>5708.6926395331884</c:v>
                </c:pt>
                <c:pt idx="11">
                  <c:v>5051.9900319977023</c:v>
                </c:pt>
                <c:pt idx="12">
                  <c:v>4402.5511766064355</c:v>
                </c:pt>
                <c:pt idx="13">
                  <c:v>3882.6095178731125</c:v>
                </c:pt>
                <c:pt idx="14">
                  <c:v>3410.4583859516115</c:v>
                </c:pt>
                <c:pt idx="15">
                  <c:v>3065.469360372098</c:v>
                </c:pt>
                <c:pt idx="16">
                  <c:v>2089.6766834670939</c:v>
                </c:pt>
                <c:pt idx="17">
                  <c:v>2293.9913428656537</c:v>
                </c:pt>
                <c:pt idx="18">
                  <c:v>2069.8475666703598</c:v>
                </c:pt>
                <c:pt idx="19">
                  <c:v>1876.5250304947485</c:v>
                </c:pt>
                <c:pt idx="20">
                  <c:v>1686.5836718590635</c:v>
                </c:pt>
                <c:pt idx="21">
                  <c:v>1550.4061253090272</c:v>
                </c:pt>
                <c:pt idx="22">
                  <c:v>1398.7469742931512</c:v>
                </c:pt>
                <c:pt idx="23">
                  <c:v>1318.1164280503162</c:v>
                </c:pt>
                <c:pt idx="24">
                  <c:v>1252.3556742158194</c:v>
                </c:pt>
                <c:pt idx="25">
                  <c:v>1213.6020049693175</c:v>
                </c:pt>
                <c:pt idx="26">
                  <c:v>1405.2636330371261</c:v>
                </c:pt>
                <c:pt idx="27">
                  <c:v>1262.0504757282642</c:v>
                </c:pt>
                <c:pt idx="28">
                  <c:v>1097.5520786361762</c:v>
                </c:pt>
                <c:pt idx="29">
                  <c:v>-10869.625044523464</c:v>
                </c:pt>
                <c:pt idx="30">
                  <c:v>0</c:v>
                </c:pt>
                <c:pt idx="31">
                  <c:v>0</c:v>
                </c:pt>
              </c:numCache>
            </c:numRef>
          </c:val>
          <c:extLst xmlns:c15="http://schemas.microsoft.com/office/drawing/2012/chart">
            <c:ext xmlns:c16="http://schemas.microsoft.com/office/drawing/2014/chart" uri="{C3380CC4-5D6E-409C-BE32-E72D297353CC}">
              <c16:uniqueId val="{00000005-60F6-436A-9F0C-0D88CB35F0FF}"/>
            </c:ext>
          </c:extLst>
        </c:ser>
        <c:dLbls>
          <c:showLegendKey val="0"/>
          <c:showVal val="0"/>
          <c:showCatName val="0"/>
          <c:showSerName val="0"/>
          <c:showPercent val="0"/>
          <c:showBubbleSize val="0"/>
        </c:dLbls>
        <c:gapWidth val="150"/>
        <c:axId val="1340672367"/>
        <c:axId val="1199289631"/>
        <c:extLst>
          <c:ext xmlns:c15="http://schemas.microsoft.com/office/drawing/2012/chart" uri="{02D57815-91ED-43cb-92C2-25804820EDAC}">
            <c15:filteredBarSeries>
              <c15:ser>
                <c:idx val="2"/>
                <c:order val="0"/>
                <c:tx>
                  <c:strRef>
                    <c:extLst>
                      <c:ext uri="{02D57815-91ED-43cb-92C2-25804820EDAC}">
                        <c15:formulaRef>
                          <c15:sqref>'Gráficos - Monografia'!$A$178</c15:sqref>
                        </c15:formulaRef>
                      </c:ext>
                    </c:extLst>
                    <c:strCache>
                      <c:ptCount val="1"/>
                      <c:pt idx="0">
                        <c:v>Depreciação/Amortizações</c:v>
                      </c:pt>
                    </c:strCache>
                  </c:strRef>
                </c:tx>
                <c:spPr>
                  <a:solidFill>
                    <a:schemeClr val="accent3"/>
                  </a:solidFill>
                  <a:ln w="12700">
                    <a:solidFill>
                      <a:schemeClr val="tx1"/>
                    </a:solidFill>
                  </a:ln>
                  <a:effectLst/>
                </c:spPr>
                <c:invertIfNegative val="0"/>
                <c:cat>
                  <c:numRef>
                    <c:extLst>
                      <c:ext uri="{02D57815-91ED-43cb-92C2-25804820EDAC}">
                        <c15:fullRef>
                          <c15:sqref>'Gráficos - Monografia'!$B$169:$AR$169</c15:sqref>
                        </c15:fullRef>
                        <c15:formulaRef>
                          <c15:sqref>('Gráficos - Monografia'!$B$169:$AG$169,'Gráficos - Monografia'!$AR$169)</c15:sqref>
                        </c15:formulaRef>
                      </c:ext>
                    </c:extLst>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uri="{02D57815-91ED-43cb-92C2-25804820EDAC}">
                        <c15:fullRef>
                          <c15:sqref>'Gráficos - Monografia'!$B$178:$AQ$178</c15:sqref>
                        </c15:fullRef>
                        <c15:formulaRef>
                          <c15:sqref>'Gráficos - Monografia'!$B$178:$AG$178</c15:sqref>
                        </c15:formulaRef>
                      </c:ext>
                    </c:extLst>
                    <c:numCache>
                      <c:formatCode>#,##0</c:formatCode>
                      <c:ptCount val="32"/>
                      <c:pt idx="0">
                        <c:v>1596.9531915402797</c:v>
                      </c:pt>
                      <c:pt idx="1">
                        <c:v>1891.224984240544</c:v>
                      </c:pt>
                      <c:pt idx="2">
                        <c:v>2219.4582125376492</c:v>
                      </c:pt>
                      <c:pt idx="3">
                        <c:v>2392.3301476040915</c:v>
                      </c:pt>
                      <c:pt idx="4">
                        <c:v>2655.3508833659366</c:v>
                      </c:pt>
                      <c:pt idx="5">
                        <c:v>2587.6981410118365</c:v>
                      </c:pt>
                      <c:pt idx="6">
                        <c:v>2369.0125761991999</c:v>
                      </c:pt>
                      <c:pt idx="7">
                        <c:v>2064.7267952979869</c:v>
                      </c:pt>
                      <c:pt idx="8">
                        <c:v>1828.137374014656</c:v>
                      </c:pt>
                      <c:pt idx="9">
                        <c:v>1639.3550532193231</c:v>
                      </c:pt>
                      <c:pt idx="10">
                        <c:v>1457.6845995409428</c:v>
                      </c:pt>
                      <c:pt idx="11">
                        <c:v>1283.1199727102191</c:v>
                      </c:pt>
                      <c:pt idx="12">
                        <c:v>1140.9963347259759</c:v>
                      </c:pt>
                      <c:pt idx="13">
                        <c:v>1046.6193330039277</c:v>
                      </c:pt>
                      <c:pt idx="14">
                        <c:v>932.58941753807062</c:v>
                      </c:pt>
                      <c:pt idx="15">
                        <c:v>761.804332869164</c:v>
                      </c:pt>
                      <c:pt idx="16">
                        <c:v>696.69733130685336</c:v>
                      </c:pt>
                      <c:pt idx="17">
                        <c:v>643.18237575193064</c:v>
                      </c:pt>
                      <c:pt idx="18">
                        <c:v>595.39629467051498</c:v>
                      </c:pt>
                      <c:pt idx="19">
                        <c:v>564.35475797985077</c:v>
                      </c:pt>
                      <c:pt idx="20">
                        <c:v>528.54482289560906</c:v>
                      </c:pt>
                      <c:pt idx="21">
                        <c:v>521.83892808162614</c:v>
                      </c:pt>
                      <c:pt idx="22">
                        <c:v>528.27217103676367</c:v>
                      </c:pt>
                      <c:pt idx="23">
                        <c:v>547.8347497868856</c:v>
                      </c:pt>
                      <c:pt idx="24">
                        <c:v>553.6994209799501</c:v>
                      </c:pt>
                      <c:pt idx="25">
                        <c:v>603.08183312543747</c:v>
                      </c:pt>
                      <c:pt idx="26">
                        <c:v>717.3235814515607</c:v>
                      </c:pt>
                      <c:pt idx="27">
                        <c:v>453.47301428149234</c:v>
                      </c:pt>
                      <c:pt idx="28">
                        <c:v>10.173088515200186</c:v>
                      </c:pt>
                      <c:pt idx="29">
                        <c:v>0</c:v>
                      </c:pt>
                      <c:pt idx="30">
                        <c:v>0</c:v>
                      </c:pt>
                      <c:pt idx="31">
                        <c:v>0</c:v>
                      </c:pt>
                    </c:numCache>
                  </c:numRef>
                </c:val>
                <c:extLst>
                  <c:ext xmlns:c16="http://schemas.microsoft.com/office/drawing/2014/chart" uri="{C3380CC4-5D6E-409C-BE32-E72D297353CC}">
                    <c16:uniqueId val="{00000001-60F6-436A-9F0C-0D88CB35F0FF}"/>
                  </c:ext>
                </c:extLst>
              </c15:ser>
            </c15:filteredBarSeries>
            <c15:filteredBarSeries>
              <c15:ser>
                <c:idx val="3"/>
                <c:order val="1"/>
                <c:tx>
                  <c:strRef>
                    <c:extLst xmlns:c15="http://schemas.microsoft.com/office/drawing/2012/chart">
                      <c:ext xmlns:c15="http://schemas.microsoft.com/office/drawing/2012/chart" uri="{02D57815-91ED-43cb-92C2-25804820EDAC}">
                        <c15:formulaRef>
                          <c15:sqref>'Gráficos - Monografia'!$A$179</c15:sqref>
                        </c15:formulaRef>
                      </c:ext>
                    </c:extLst>
                    <c:strCache>
                      <c:ptCount val="1"/>
                      <c:pt idx="0">
                        <c:v>Abandono</c:v>
                      </c:pt>
                    </c:strCache>
                  </c:strRef>
                </c:tx>
                <c:spPr>
                  <a:solidFill>
                    <a:schemeClr val="accent4"/>
                  </a:solidFill>
                  <a:ln w="12700">
                    <a:solidFill>
                      <a:schemeClr val="tx1"/>
                    </a:solidFill>
                  </a:ln>
                  <a:effectLst/>
                </c:spPr>
                <c:invertIfNegative val="0"/>
                <c:cat>
                  <c:numRef>
                    <c:extLst>
                      <c:ext xmlns:c15="http://schemas.microsoft.com/office/drawing/2012/chart" uri="{02D57815-91ED-43cb-92C2-25804820EDAC}">
                        <c15:fullRef>
                          <c15:sqref>'Gráficos - Monografia'!$B$169:$AR$169</c15:sqref>
                        </c15:fullRef>
                        <c15:formulaRef>
                          <c15:sqref>('Gráficos - Monografia'!$B$169:$AG$169,'Gráficos - Monografia'!$AR$169)</c15:sqref>
                        </c15:formulaRef>
                      </c:ext>
                    </c:extLst>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xmlns:c15="http://schemas.microsoft.com/office/drawing/2012/chart" uri="{02D57815-91ED-43cb-92C2-25804820EDAC}">
                        <c15:fullRef>
                          <c15:sqref>'Gráficos - Monografia'!$B$179:$AQ$179</c15:sqref>
                        </c15:fullRef>
                        <c15:formulaRef>
                          <c15:sqref>'Gráficos - Monografia'!$B$179:$AG$179</c15:sqref>
                        </c15:formulaRef>
                      </c:ext>
                    </c:extLst>
                    <c:numCache>
                      <c:formatCode>#,##0</c:formatCode>
                      <c:ptCount val="32"/>
                      <c:pt idx="0">
                        <c:v>-57.710249999999988</c:v>
                      </c:pt>
                      <c:pt idx="1">
                        <c:v>-58.866841799999989</c:v>
                      </c:pt>
                      <c:pt idx="2">
                        <c:v>-121.7268</c:v>
                      </c:pt>
                      <c:pt idx="3">
                        <c:v>0</c:v>
                      </c:pt>
                      <c:pt idx="4">
                        <c:v>-64.588726987199991</c:v>
                      </c:pt>
                      <c:pt idx="5">
                        <c:v>-66.526388796815993</c:v>
                      </c:pt>
                      <c:pt idx="6">
                        <c:v>0</c:v>
                      </c:pt>
                      <c:pt idx="7">
                        <c:v>0</c:v>
                      </c:pt>
                      <c:pt idx="8">
                        <c:v>0</c:v>
                      </c:pt>
                      <c:pt idx="9">
                        <c:v>0</c:v>
                      </c:pt>
                      <c:pt idx="10">
                        <c:v>0</c:v>
                      </c:pt>
                      <c:pt idx="11">
                        <c:v>0</c:v>
                      </c:pt>
                      <c:pt idx="12">
                        <c:v>0</c:v>
                      </c:pt>
                      <c:pt idx="13">
                        <c:v>0</c:v>
                      </c:pt>
                      <c:pt idx="14">
                        <c:v>0</c:v>
                      </c:pt>
                      <c:pt idx="15">
                        <c:v>0</c:v>
                      </c:pt>
                      <c:pt idx="16">
                        <c:v>-732.7692572934875</c:v>
                      </c:pt>
                      <c:pt idx="17">
                        <c:v>0</c:v>
                      </c:pt>
                      <c:pt idx="18">
                        <c:v>0</c:v>
                      </c:pt>
                      <c:pt idx="19">
                        <c:v>0</c:v>
                      </c:pt>
                      <c:pt idx="20">
                        <c:v>0</c:v>
                      </c:pt>
                      <c:pt idx="21">
                        <c:v>0</c:v>
                      </c:pt>
                      <c:pt idx="22">
                        <c:v>0</c:v>
                      </c:pt>
                      <c:pt idx="23">
                        <c:v>0</c:v>
                      </c:pt>
                      <c:pt idx="24">
                        <c:v>0</c:v>
                      </c:pt>
                      <c:pt idx="25">
                        <c:v>0</c:v>
                      </c:pt>
                      <c:pt idx="26">
                        <c:v>0</c:v>
                      </c:pt>
                      <c:pt idx="27">
                        <c:v>0</c:v>
                      </c:pt>
                      <c:pt idx="28">
                        <c:v>0</c:v>
                      </c:pt>
                      <c:pt idx="29">
                        <c:v>-10869.625044523464</c:v>
                      </c:pt>
                      <c:pt idx="30">
                        <c:v>0</c:v>
                      </c:pt>
                      <c:pt idx="31">
                        <c:v>0</c:v>
                      </c:pt>
                    </c:numCache>
                  </c:numRef>
                </c:val>
                <c:extLst xmlns:c15="http://schemas.microsoft.com/office/drawing/2012/chart">
                  <c:ext xmlns:c16="http://schemas.microsoft.com/office/drawing/2014/chart" uri="{C3380CC4-5D6E-409C-BE32-E72D297353CC}">
                    <c16:uniqueId val="{00000002-60F6-436A-9F0C-0D88CB35F0FF}"/>
                  </c:ext>
                </c:extLst>
              </c15:ser>
            </c15:filteredBarSeries>
            <c15:filteredBarSeries>
              <c15:ser>
                <c:idx val="4"/>
                <c:order val="2"/>
                <c:tx>
                  <c:strRef>
                    <c:extLst xmlns:c15="http://schemas.microsoft.com/office/drawing/2012/chart">
                      <c:ext xmlns:c15="http://schemas.microsoft.com/office/drawing/2012/chart" uri="{02D57815-91ED-43cb-92C2-25804820EDAC}">
                        <c15:formulaRef>
                          <c15:sqref>'Gráficos - Monografia'!$A$180</c15:sqref>
                        </c15:formulaRef>
                      </c:ext>
                    </c:extLst>
                    <c:strCache>
                      <c:ptCount val="1"/>
                      <c:pt idx="0">
                        <c:v>Variação do Capital de Giro</c:v>
                      </c:pt>
                    </c:strCache>
                  </c:strRef>
                </c:tx>
                <c:spPr>
                  <a:solidFill>
                    <a:schemeClr val="accent5"/>
                  </a:solidFill>
                  <a:ln w="12700">
                    <a:solidFill>
                      <a:schemeClr val="tx1"/>
                    </a:solidFill>
                  </a:ln>
                  <a:effectLst/>
                </c:spPr>
                <c:invertIfNegative val="0"/>
                <c:cat>
                  <c:numRef>
                    <c:extLst>
                      <c:ext xmlns:c15="http://schemas.microsoft.com/office/drawing/2012/chart" uri="{02D57815-91ED-43cb-92C2-25804820EDAC}">
                        <c15:fullRef>
                          <c15:sqref>'Gráficos - Monografia'!$B$169:$AR$169</c15:sqref>
                        </c15:fullRef>
                        <c15:formulaRef>
                          <c15:sqref>('Gráficos - Monografia'!$B$169:$AG$169,'Gráficos - Monografia'!$AR$169)</c15:sqref>
                        </c15:formulaRef>
                      </c:ext>
                    </c:extLst>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xmlns:c15="http://schemas.microsoft.com/office/drawing/2012/chart" uri="{02D57815-91ED-43cb-92C2-25804820EDAC}">
                        <c15:fullRef>
                          <c15:sqref>'Gráficos - Monografia'!$B$180:$AQ$180</c15:sqref>
                        </c15:fullRef>
                        <c15:formulaRef>
                          <c15:sqref>'Gráficos - Monografia'!$B$180:$AG$180</c15:sqref>
                        </c15:formulaRef>
                      </c:ext>
                    </c:extLst>
                    <c:numCache>
                      <c:formatCode>#,##0</c:formatCode>
                      <c:ptCount val="32"/>
                      <c:pt idx="0">
                        <c:v>-1082.6085989700173</c:v>
                      </c:pt>
                      <c:pt idx="1">
                        <c:v>-580.48134218906705</c:v>
                      </c:pt>
                      <c:pt idx="2">
                        <c:v>34.394185195168482</c:v>
                      </c:pt>
                      <c:pt idx="3">
                        <c:v>-15.756499500703532</c:v>
                      </c:pt>
                      <c:pt idx="4">
                        <c:v>200.52097917740372</c:v>
                      </c:pt>
                      <c:pt idx="5">
                        <c:v>13.530800975340419</c:v>
                      </c:pt>
                      <c:pt idx="6">
                        <c:v>287.95682717192636</c:v>
                      </c:pt>
                      <c:pt idx="7">
                        <c:v>403.67556671605769</c:v>
                      </c:pt>
                      <c:pt idx="8">
                        <c:v>244.38426108784438</c:v>
                      </c:pt>
                      <c:pt idx="9">
                        <c:v>196.66342060175981</c:v>
                      </c:pt>
                      <c:pt idx="10">
                        <c:v>168.45813702328411</c:v>
                      </c:pt>
                      <c:pt idx="11">
                        <c:v>171.85625586552359</c:v>
                      </c:pt>
                      <c:pt idx="12">
                        <c:v>176.06042563267403</c:v>
                      </c:pt>
                      <c:pt idx="13">
                        <c:v>147.34130428998614</c:v>
                      </c:pt>
                      <c:pt idx="14">
                        <c:v>107.73225064288185</c:v>
                      </c:pt>
                      <c:pt idx="15">
                        <c:v>82.225582530084878</c:v>
                      </c:pt>
                      <c:pt idx="16">
                        <c:v>189.31420478327701</c:v>
                      </c:pt>
                      <c:pt idx="17">
                        <c:v>78.444894486394475</c:v>
                      </c:pt>
                      <c:pt idx="18">
                        <c:v>69.787769434820163</c:v>
                      </c:pt>
                      <c:pt idx="19">
                        <c:v>65.991442436840728</c:v>
                      </c:pt>
                      <c:pt idx="20">
                        <c:v>51.827280256567349</c:v>
                      </c:pt>
                      <c:pt idx="21">
                        <c:v>56.934347450671602</c:v>
                      </c:pt>
                      <c:pt idx="22">
                        <c:v>32.785039290965969</c:v>
                      </c:pt>
                      <c:pt idx="23">
                        <c:v>25.605301720787015</c:v>
                      </c:pt>
                      <c:pt idx="24">
                        <c:v>22.200317614023195</c:v>
                      </c:pt>
                      <c:pt idx="25">
                        <c:v>39.563841039256481</c:v>
                      </c:pt>
                      <c:pt idx="26">
                        <c:v>22.550319884034952</c:v>
                      </c:pt>
                      <c:pt idx="27">
                        <c:v>14.216320325330628</c:v>
                      </c:pt>
                      <c:pt idx="28">
                        <c:v>118.81697771128709</c:v>
                      </c:pt>
                      <c:pt idx="29">
                        <c:v>0</c:v>
                      </c:pt>
                      <c:pt idx="30">
                        <c:v>0</c:v>
                      </c:pt>
                      <c:pt idx="31">
                        <c:v>0</c:v>
                      </c:pt>
                    </c:numCache>
                  </c:numRef>
                </c:val>
                <c:extLst xmlns:c15="http://schemas.microsoft.com/office/drawing/2012/chart">
                  <c:ext xmlns:c16="http://schemas.microsoft.com/office/drawing/2014/chart" uri="{C3380CC4-5D6E-409C-BE32-E72D297353CC}">
                    <c16:uniqueId val="{00000003-60F6-436A-9F0C-0D88CB35F0FF}"/>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'Gráficos - Monografia'!$A$183</c15:sqref>
                        </c15:formulaRef>
                      </c:ext>
                    </c:extLst>
                    <c:strCache>
                      <c:ptCount val="1"/>
                      <c:pt idx="0">
                        <c:v>Variação da Dívida Líquida</c:v>
                      </c:pt>
                    </c:strCache>
                  </c:strRef>
                </c:tx>
                <c:spPr>
                  <a:solidFill>
                    <a:schemeClr val="accent6"/>
                  </a:solidFill>
                  <a:ln w="12700">
                    <a:solidFill>
                      <a:schemeClr val="tx1"/>
                    </a:solidFill>
                  </a:ln>
                  <a:effectLst/>
                </c:spPr>
                <c:invertIfNegative val="0"/>
                <c:cat>
                  <c:numRef>
                    <c:extLst>
                      <c:ext xmlns:c15="http://schemas.microsoft.com/office/drawing/2012/chart" uri="{02D57815-91ED-43cb-92C2-25804820EDAC}">
                        <c15:fullRef>
                          <c15:sqref>'Gráficos - Monografia'!$B$169:$AR$169</c15:sqref>
                        </c15:fullRef>
                        <c15:formulaRef>
                          <c15:sqref>('Gráficos - Monografia'!$B$169:$AG$169,'Gráficos - Monografia'!$AR$169)</c15:sqref>
                        </c15:formulaRef>
                      </c:ext>
                    </c:extLst>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xmlns:c15="http://schemas.microsoft.com/office/drawing/2012/chart" uri="{02D57815-91ED-43cb-92C2-25804820EDAC}">
                        <c15:fullRef>
                          <c15:sqref>'Gráficos - Monografia'!$B$183:$AQ$183</c15:sqref>
                        </c15:fullRef>
                        <c15:formulaRef>
                          <c15:sqref>'Gráficos - Monografia'!$B$183:$AG$183</c15:sqref>
                        </c15:formulaRef>
                      </c:ext>
                    </c:extLst>
                    <c:numCache>
                      <c:formatCode>#,##0</c:formatCode>
                      <c:ptCount val="32"/>
                      <c:pt idx="0">
                        <c:v>-2927.860289411361</c:v>
                      </c:pt>
                      <c:pt idx="1">
                        <c:v>-2358.6130355949017</c:v>
                      </c:pt>
                      <c:pt idx="2">
                        <c:v>-3249.675955458556</c:v>
                      </c:pt>
                      <c:pt idx="3">
                        <c:v>-905.21040074048778</c:v>
                      </c:pt>
                      <c:pt idx="4">
                        <c:v>-756.65530500743444</c:v>
                      </c:pt>
                      <c:pt idx="5">
                        <c:v>-57.008682623194545</c:v>
                      </c:pt>
                      <c:pt idx="6">
                        <c:v>455.04675059220978</c:v>
                      </c:pt>
                      <c:pt idx="7">
                        <c:v>684.51553455207568</c:v>
                      </c:pt>
                      <c:pt idx="8">
                        <c:v>443.35238758296373</c:v>
                      </c:pt>
                      <c:pt idx="9">
                        <c:v>361.26329089177534</c:v>
                      </c:pt>
                      <c:pt idx="10">
                        <c:v>302.41855638163361</c:v>
                      </c:pt>
                      <c:pt idx="11">
                        <c:v>307.09470968286951</c:v>
                      </c:pt>
                      <c:pt idx="12">
                        <c:v>309.77288108693756</c:v>
                      </c:pt>
                      <c:pt idx="13">
                        <c:v>264.2283705540558</c:v>
                      </c:pt>
                      <c:pt idx="14">
                        <c:v>189.96973478251289</c:v>
                      </c:pt>
                      <c:pt idx="15">
                        <c:v>163.81290479372024</c:v>
                      </c:pt>
                      <c:pt idx="16">
                        <c:v>323.08614049065204</c:v>
                      </c:pt>
                      <c:pt idx="17">
                        <c:v>135.81312809331598</c:v>
                      </c:pt>
                      <c:pt idx="18">
                        <c:v>119.15926273211358</c:v>
                      </c:pt>
                      <c:pt idx="19">
                        <c:v>112.71271725237602</c:v>
                      </c:pt>
                      <c:pt idx="20">
                        <c:v>87.207043441012843</c:v>
                      </c:pt>
                      <c:pt idx="21">
                        <c:v>98.541218488193522</c:v>
                      </c:pt>
                      <c:pt idx="22">
                        <c:v>55.90015799925186</c:v>
                      </c:pt>
                      <c:pt idx="23">
                        <c:v>43.643323182323911</c:v>
                      </c:pt>
                      <c:pt idx="24">
                        <c:v>36.801225964688228</c:v>
                      </c:pt>
                      <c:pt idx="25">
                        <c:v>68.462703586833186</c:v>
                      </c:pt>
                      <c:pt idx="26">
                        <c:v>38.611285564778086</c:v>
                      </c:pt>
                      <c:pt idx="27">
                        <c:v>24.373898111109156</c:v>
                      </c:pt>
                      <c:pt idx="28">
                        <c:v>202.19606585288761</c:v>
                      </c:pt>
                      <c:pt idx="29">
                        <c:v>0</c:v>
                      </c:pt>
                      <c:pt idx="30">
                        <c:v>0</c:v>
                      </c:pt>
                      <c:pt idx="31">
                        <c:v>0</c:v>
                      </c:pt>
                    </c:numCache>
                  </c:numRef>
                </c:val>
                <c:extLst xmlns:c15="http://schemas.microsoft.com/office/drawing/2012/chart">
                  <c:ext xmlns:c16="http://schemas.microsoft.com/office/drawing/2014/chart" uri="{C3380CC4-5D6E-409C-BE32-E72D297353CC}">
                    <c16:uniqueId val="{00000004-60F6-436A-9F0C-0D88CB35F0FF}"/>
                  </c:ext>
                </c:extLst>
              </c15:ser>
            </c15:filteredBarSeries>
            <c15:filteredBarSeries>
              <c15:ser>
                <c:idx val="0"/>
                <c:order val="5"/>
                <c:tx>
                  <c:strRef>
                    <c:extLst xmlns:c15="http://schemas.microsoft.com/office/drawing/2012/chart">
                      <c:ext xmlns:c15="http://schemas.microsoft.com/office/drawing/2012/chart" uri="{02D57815-91ED-43cb-92C2-25804820EDAC}">
                        <c15:formulaRef>
                          <c15:sqref>'Gráficos - Monografia'!$A$181</c15:sqref>
                        </c15:formulaRef>
                      </c:ext>
                    </c:extLst>
                    <c:strCache>
                      <c:ptCount val="1"/>
                      <c:pt idx="0">
                        <c:v>Fluxo de Caixa Operacional</c:v>
                      </c:pt>
                    </c:strCache>
                  </c:strRef>
                </c:tx>
                <c:spPr>
                  <a:solidFill>
                    <a:schemeClr val="bg1">
                      <a:lumMod val="95000"/>
                    </a:schemeClr>
                  </a:solidFill>
                  <a:ln w="12700">
                    <a:solidFill>
                      <a:schemeClr val="tx1"/>
                    </a:solidFill>
                  </a:ln>
                  <a:effectLst/>
                </c:spPr>
                <c:invertIfNegative val="0"/>
                <c:cat>
                  <c:numRef>
                    <c:extLst>
                      <c:ext xmlns:c15="http://schemas.microsoft.com/office/drawing/2012/chart" uri="{02D57815-91ED-43cb-92C2-25804820EDAC}">
                        <c15:fullRef>
                          <c15:sqref>'Gráficos - Monografia'!$B$169:$AR$169</c15:sqref>
                        </c15:fullRef>
                        <c15:formulaRef>
                          <c15:sqref>('Gráficos - Monografia'!$B$169:$AG$169,'Gráficos - Monografia'!$AR$169)</c15:sqref>
                        </c15:formulaRef>
                      </c:ext>
                    </c:extLst>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2066</c:v>
                      </c:pt>
                    </c:numCache>
                  </c:numRef>
                </c:cat>
                <c:val>
                  <c:numRef>
                    <c:extLst>
                      <c:ext xmlns:c15="http://schemas.microsoft.com/office/drawing/2012/chart" uri="{02D57815-91ED-43cb-92C2-25804820EDAC}">
                        <c15:fullRef>
                          <c15:sqref>'Gráficos - Monografia'!$B$181:$AQ$181</c15:sqref>
                        </c15:fullRef>
                        <c15:formulaRef>
                          <c15:sqref>'Gráficos - Monografia'!$B$181:$AG$181</c15:sqref>
                        </c15:formulaRef>
                      </c:ext>
                    </c:extLst>
                    <c:numCache>
                      <c:formatCode>#,##0</c:formatCode>
                      <c:ptCount val="32"/>
                      <c:pt idx="0">
                        <c:v>6976.6399122074672</c:v>
                      </c:pt>
                      <c:pt idx="1">
                        <c:v>9762.6381758061852</c:v>
                      </c:pt>
                      <c:pt idx="2">
                        <c:v>10357.536365231545</c:v>
                      </c:pt>
                      <c:pt idx="3">
                        <c:v>10581.19021739573</c:v>
                      </c:pt>
                      <c:pt idx="4">
                        <c:v>10292.002187175398</c:v>
                      </c:pt>
                      <c:pt idx="5">
                        <c:v>10035.453427519751</c:v>
                      </c:pt>
                      <c:pt idx="6">
                        <c:v>9468.0364422909206</c:v>
                      </c:pt>
                      <c:pt idx="7">
                        <c:v>8280.208351360463</c:v>
                      </c:pt>
                      <c:pt idx="8">
                        <c:v>7239.8563349772585</c:v>
                      </c:pt>
                      <c:pt idx="9">
                        <c:v>6321.7078680402637</c:v>
                      </c:pt>
                      <c:pt idx="10">
                        <c:v>5680.825113707715</c:v>
                      </c:pt>
                      <c:pt idx="11">
                        <c:v>5027.3709017315969</c:v>
                      </c:pt>
                      <c:pt idx="12">
                        <c:v>4383.4299427459528</c:v>
                      </c:pt>
                      <c:pt idx="13">
                        <c:v>3805.7953840100345</c:v>
                      </c:pt>
                      <c:pt idx="14">
                        <c:v>3413.2275412667277</c:v>
                      </c:pt>
                      <c:pt idx="15">
                        <c:v>3099.8646781932607</c:v>
                      </c:pt>
                      <c:pt idx="16">
                        <c:v>1970.4476903904406</c:v>
                      </c:pt>
                      <c:pt idx="17">
                        <c:v>2367.8377770538914</c:v>
                      </c:pt>
                      <c:pt idx="18">
                        <c:v>2166.3408105391818</c:v>
                      </c:pt>
                      <c:pt idx="19">
                        <c:v>1985.6206017762968</c:v>
                      </c:pt>
                      <c:pt idx="20">
                        <c:v>1827.5428315804074</c:v>
                      </c:pt>
                      <c:pt idx="21">
                        <c:v>1686.5617790358983</c:v>
                      </c:pt>
                      <c:pt idx="22">
                        <c:v>1584.288800138268</c:v>
                      </c:pt>
                      <c:pt idx="23">
                        <c:v>1522.8434755103785</c:v>
                      </c:pt>
                      <c:pt idx="24">
                        <c:v>1471.0807078210462</c:v>
                      </c:pt>
                      <c:pt idx="25">
                        <c:v>1408.0158865064161</c:v>
                      </c:pt>
                      <c:pt idx="26">
                        <c:v>1376.825435987548</c:v>
                      </c:pt>
                      <c:pt idx="27">
                        <c:v>1247.8496661323552</c:v>
                      </c:pt>
                      <c:pt idx="28">
                        <c:v>905.52910129848874</c:v>
                      </c:pt>
                      <c:pt idx="29">
                        <c:v>-10869.625044523464</c:v>
                      </c:pt>
                      <c:pt idx="30">
                        <c:v>0</c:v>
                      </c:pt>
                      <c:pt idx="31">
                        <c:v>0</c:v>
                      </c:pt>
                    </c:numCache>
                  </c:numRef>
                </c:val>
                <c:extLst xmlns:c15="http://schemas.microsoft.com/office/drawing/2012/chart">
                  <c:ext xmlns:c16="http://schemas.microsoft.com/office/drawing/2014/chart" uri="{C3380CC4-5D6E-409C-BE32-E72D297353CC}">
                    <c16:uniqueId val="{00000000-60F6-436A-9F0C-0D88CB35F0FF}"/>
                  </c:ext>
                </c:extLst>
              </c15:ser>
            </c15:filteredBarSeries>
          </c:ext>
        </c:extLst>
      </c:barChart>
      <c:catAx>
        <c:axId val="134067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199289631"/>
        <c:crosses val="autoZero"/>
        <c:auto val="1"/>
        <c:lblAlgn val="ctr"/>
        <c:lblOffset val="100"/>
        <c:noMultiLvlLbl val="0"/>
      </c:catAx>
      <c:valAx>
        <c:axId val="11992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Milhões de Reais</a:t>
                </a:r>
                <a:r>
                  <a:rPr lang="pt-BR" baseline="0"/>
                  <a:t> (R$ mi)</a:t>
                </a:r>
                <a:endParaRPr lang="pt-B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340672367"/>
        <c:crosses val="autoZero"/>
        <c:crossBetween val="between"/>
      </c:val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57708740651323"/>
          <c:y val="3.3587980968573933E-2"/>
          <c:w val="0.79447342630302509"/>
          <c:h val="0.77419002922832558"/>
        </c:manualLayout>
      </c:layout>
      <c:barChart>
        <c:barDir val="col"/>
        <c:grouping val="clustered"/>
        <c:varyColors val="0"/>
        <c:ser>
          <c:idx val="2"/>
          <c:order val="1"/>
          <c:tx>
            <c:strRef>
              <c:f>'Avaliação e Simulações'!$A$14</c:f>
              <c:strCache>
                <c:ptCount val="1"/>
                <c:pt idx="0">
                  <c:v>Beta Alavancado</c:v>
                </c:pt>
              </c:strCache>
            </c:strRef>
          </c:tx>
          <c:spPr>
            <a:solidFill>
              <a:schemeClr val="bg1">
                <a:lumMod val="85000"/>
              </a:schemeClr>
            </a:solidFill>
            <a:ln>
              <a:solidFill>
                <a:schemeClr val="tx1"/>
              </a:solidFill>
            </a:ln>
            <a:effectLst/>
          </c:spPr>
          <c:invertIfNegative val="0"/>
          <c:cat>
            <c:strRef>
              <c:extLst>
                <c:ext xmlns:c15="http://schemas.microsoft.com/office/drawing/2012/chart" uri="{02D57815-91ED-43cb-92C2-25804820EDAC}">
                  <c15:fullRef>
                    <c15:sqref>'Avaliação e Simulações'!$B$1:$AU$1</c15:sqref>
                  </c15:fullRef>
                </c:ext>
              </c:extLst>
              <c:f>'Avaliação e Simulações'!$D$1:$AK$1</c:f>
              <c:strCache>
                <c:ptCount val="34"/>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pt idx="28">
                  <c:v>2051</c:v>
                </c:pt>
                <c:pt idx="29">
                  <c:v>2052</c:v>
                </c:pt>
                <c:pt idx="30">
                  <c:v>2053</c:v>
                </c:pt>
                <c:pt idx="31">
                  <c:v>2054</c:v>
                </c:pt>
                <c:pt idx="32">
                  <c:v>2055</c:v>
                </c:pt>
                <c:pt idx="33">
                  <c:v>2056</c:v>
                </c:pt>
              </c:strCache>
            </c:strRef>
          </c:cat>
          <c:val>
            <c:numRef>
              <c:extLst>
                <c:ext xmlns:c15="http://schemas.microsoft.com/office/drawing/2012/chart" uri="{02D57815-91ED-43cb-92C2-25804820EDAC}">
                  <c15:fullRef>
                    <c15:sqref>'Avaliação e Simulações'!$B$14:$AU$14</c15:sqref>
                  </c15:fullRef>
                </c:ext>
              </c:extLst>
              <c:f>'Avaliação e Simulações'!$D$14:$AK$14</c:f>
              <c:numCache>
                <c:formatCode>General</c:formatCode>
                <c:ptCount val="34"/>
                <c:pt idx="1" formatCode="#,##0.00">
                  <c:v>1.3211446375959874</c:v>
                </c:pt>
                <c:pt idx="2" formatCode="#,##0.00">
                  <c:v>1.2455517907635743</c:v>
                </c:pt>
                <c:pt idx="3" formatCode="#,##0.00">
                  <c:v>1.138883916589569</c:v>
                </c:pt>
                <c:pt idx="4" formatCode="#,##0.00">
                  <c:v>1.117060341891265</c:v>
                </c:pt>
                <c:pt idx="5" formatCode="#,##0.00">
                  <c:v>1.0900000000000001</c:v>
                </c:pt>
                <c:pt idx="6" formatCode="#,##0.00">
                  <c:v>1.0900000000000001</c:v>
                </c:pt>
                <c:pt idx="7" formatCode="#,##0.00">
                  <c:v>1.0900000000000001</c:v>
                </c:pt>
                <c:pt idx="8" formatCode="#,##0.00">
                  <c:v>1.0900000000000001</c:v>
                </c:pt>
                <c:pt idx="9" formatCode="#,##0.00">
                  <c:v>1.0900000000000001</c:v>
                </c:pt>
                <c:pt idx="10" formatCode="#,##0.00">
                  <c:v>1.0900000000000001</c:v>
                </c:pt>
                <c:pt idx="11" formatCode="#,##0.00">
                  <c:v>1.0900000000000001</c:v>
                </c:pt>
                <c:pt idx="12" formatCode="#,##0.00">
                  <c:v>1.0900000000000001</c:v>
                </c:pt>
                <c:pt idx="13" formatCode="#,##0.00">
                  <c:v>1.0900000000000001</c:v>
                </c:pt>
                <c:pt idx="14" formatCode="#,##0.00">
                  <c:v>1.0900000000000001</c:v>
                </c:pt>
                <c:pt idx="15" formatCode="#,##0.00">
                  <c:v>1.0900000000000001</c:v>
                </c:pt>
                <c:pt idx="16" formatCode="#,##0.00">
                  <c:v>1.0900000000000001</c:v>
                </c:pt>
                <c:pt idx="17" formatCode="#,##0.00">
                  <c:v>1.0900000000000001</c:v>
                </c:pt>
                <c:pt idx="18" formatCode="#,##0.00">
                  <c:v>1.0900000000000001</c:v>
                </c:pt>
                <c:pt idx="19" formatCode="#,##0.00">
                  <c:v>1.0900000000000001</c:v>
                </c:pt>
                <c:pt idx="20" formatCode="#,##0.00">
                  <c:v>1.0900000000000001</c:v>
                </c:pt>
                <c:pt idx="21" formatCode="#,##0.00">
                  <c:v>1.0900000000000001</c:v>
                </c:pt>
                <c:pt idx="22" formatCode="#,##0.00">
                  <c:v>1.0900000000000001</c:v>
                </c:pt>
                <c:pt idx="23" formatCode="#,##0.00">
                  <c:v>1.0900000000000001</c:v>
                </c:pt>
                <c:pt idx="24" formatCode="#,##0.00">
                  <c:v>1.0900000000000001</c:v>
                </c:pt>
                <c:pt idx="25" formatCode="#,##0.00">
                  <c:v>1.0900000000000001</c:v>
                </c:pt>
                <c:pt idx="26" formatCode="#,##0.00">
                  <c:v>1.0900000000000001</c:v>
                </c:pt>
                <c:pt idx="27" formatCode="#,##0.00">
                  <c:v>1.0900000000000001</c:v>
                </c:pt>
                <c:pt idx="28" formatCode="#,##0.00">
                  <c:v>1.0900000000000001</c:v>
                </c:pt>
                <c:pt idx="29" formatCode="#,##0.00">
                  <c:v>1.0900000000000001</c:v>
                </c:pt>
                <c:pt idx="30" formatCode="#,##0.00">
                  <c:v>1.0900000000000001</c:v>
                </c:pt>
                <c:pt idx="31" formatCode="#,##0.00">
                  <c:v>1.0900000000000001</c:v>
                </c:pt>
                <c:pt idx="32" formatCode="#,##0.00">
                  <c:v>1.0900000000000001</c:v>
                </c:pt>
                <c:pt idx="33" formatCode="#,##0.00">
                  <c:v>1.0900000000000001</c:v>
                </c:pt>
              </c:numCache>
            </c:numRef>
          </c:val>
          <c:extLst>
            <c:ext xmlns:c16="http://schemas.microsoft.com/office/drawing/2014/chart" uri="{C3380CC4-5D6E-409C-BE32-E72D297353CC}">
              <c16:uniqueId val="{00000002-261A-459F-AFD2-4C3C585405CC}"/>
            </c:ext>
          </c:extLst>
        </c:ser>
        <c:dLbls>
          <c:showLegendKey val="0"/>
          <c:showVal val="0"/>
          <c:showCatName val="0"/>
          <c:showSerName val="0"/>
          <c:showPercent val="0"/>
          <c:showBubbleSize val="0"/>
        </c:dLbls>
        <c:gapWidth val="150"/>
        <c:axId val="967774863"/>
        <c:axId val="833582175"/>
      </c:barChart>
      <c:lineChart>
        <c:grouping val="standard"/>
        <c:varyColors val="0"/>
        <c:ser>
          <c:idx val="1"/>
          <c:order val="0"/>
          <c:tx>
            <c:strRef>
              <c:f>'Avaliação e Simulações'!$A$16</c:f>
              <c:strCache>
                <c:ptCount val="1"/>
                <c:pt idx="0">
                  <c:v>D/E Ratio</c:v>
                </c:pt>
              </c:strCache>
            </c:strRef>
          </c:tx>
          <c:spPr>
            <a:ln w="19050" cap="rnd">
              <a:solidFill>
                <a:srgbClr val="C00000"/>
              </a:solidFill>
              <a:round/>
            </a:ln>
            <a:effectLst/>
          </c:spPr>
          <c:marker>
            <c:symbol val="none"/>
          </c:marker>
          <c:cat>
            <c:strRef>
              <c:extLst>
                <c:ext xmlns:c15="http://schemas.microsoft.com/office/drawing/2012/chart" uri="{02D57815-91ED-43cb-92C2-25804820EDAC}">
                  <c15:fullRef>
                    <c15:sqref>'Avaliação e Simulações'!$B$1:$AU$1</c15:sqref>
                  </c15:fullRef>
                </c:ext>
              </c:extLst>
              <c:f>'Avaliação e Simulações'!$D$1:$AK$1</c:f>
              <c:strCache>
                <c:ptCount val="34"/>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pt idx="28">
                  <c:v>2051</c:v>
                </c:pt>
                <c:pt idx="29">
                  <c:v>2052</c:v>
                </c:pt>
                <c:pt idx="30">
                  <c:v>2053</c:v>
                </c:pt>
                <c:pt idx="31">
                  <c:v>2054</c:v>
                </c:pt>
                <c:pt idx="32">
                  <c:v>2055</c:v>
                </c:pt>
                <c:pt idx="33">
                  <c:v>2056</c:v>
                </c:pt>
              </c:strCache>
            </c:strRef>
          </c:cat>
          <c:val>
            <c:numRef>
              <c:extLst>
                <c:ext xmlns:c15="http://schemas.microsoft.com/office/drawing/2012/chart" uri="{02D57815-91ED-43cb-92C2-25804820EDAC}">
                  <c15:fullRef>
                    <c15:sqref>'Avaliação e Simulações'!$B$16:$AU$16</c15:sqref>
                  </c15:fullRef>
                </c:ext>
              </c:extLst>
              <c:f>'Avaliação e Simulações'!$D$16:$AK$16</c:f>
              <c:numCache>
                <c:formatCode>General</c:formatCode>
                <c:ptCount val="34"/>
                <c:pt idx="1" formatCode="#,##0.00">
                  <c:v>0.32130197052542037</c:v>
                </c:pt>
                <c:pt idx="2" formatCode="#,##0.00">
                  <c:v>0.21622434078895497</c:v>
                </c:pt>
                <c:pt idx="3" formatCode="#,##0.00">
                  <c:v>6.795095439195005E-2</c:v>
                </c:pt>
                <c:pt idx="4" formatCode="#,##0.00">
                  <c:v>3.7615154144099244E-2</c:v>
                </c:pt>
                <c:pt idx="5" formatCode="#,##0.00">
                  <c:v>0</c:v>
                </c:pt>
                <c:pt idx="6" formatCode="#,##0.00">
                  <c:v>0</c:v>
                </c:pt>
                <c:pt idx="7" formatCode="#,##0.00">
                  <c:v>0</c:v>
                </c:pt>
                <c:pt idx="8" formatCode="#,##0.00">
                  <c:v>0</c:v>
                </c:pt>
                <c:pt idx="9" formatCode="#,##0.00">
                  <c:v>0</c:v>
                </c:pt>
                <c:pt idx="10" formatCode="#,##0.00">
                  <c:v>0</c:v>
                </c:pt>
                <c:pt idx="11" formatCode="#,##0.00">
                  <c:v>0</c:v>
                </c:pt>
                <c:pt idx="12" formatCode="#,##0.00">
                  <c:v>0</c:v>
                </c:pt>
                <c:pt idx="13" formatCode="#,##0.00">
                  <c:v>0</c:v>
                </c:pt>
                <c:pt idx="14" formatCode="#,##0.00">
                  <c:v>0</c:v>
                </c:pt>
                <c:pt idx="15" formatCode="#,##0.00">
                  <c:v>0</c:v>
                </c:pt>
                <c:pt idx="16" formatCode="#,##0.00">
                  <c:v>0</c:v>
                </c:pt>
                <c:pt idx="17" formatCode="#,##0.00">
                  <c:v>0</c:v>
                </c:pt>
                <c:pt idx="18" formatCode="#,##0.00">
                  <c:v>0</c:v>
                </c:pt>
                <c:pt idx="19" formatCode="#,##0.00">
                  <c:v>0</c:v>
                </c:pt>
                <c:pt idx="20" formatCode="#,##0.00">
                  <c:v>0</c:v>
                </c:pt>
                <c:pt idx="21" formatCode="#,##0.00">
                  <c:v>0</c:v>
                </c:pt>
                <c:pt idx="22" formatCode="#,##0.00">
                  <c:v>0</c:v>
                </c:pt>
                <c:pt idx="23" formatCode="#,##0.00">
                  <c:v>0</c:v>
                </c:pt>
                <c:pt idx="24" formatCode="#,##0.00">
                  <c:v>0</c:v>
                </c:pt>
                <c:pt idx="25" formatCode="#,##0.00">
                  <c:v>0</c:v>
                </c:pt>
                <c:pt idx="26" formatCode="#,##0.00">
                  <c:v>0</c:v>
                </c:pt>
                <c:pt idx="27" formatCode="#,##0.00">
                  <c:v>0</c:v>
                </c:pt>
                <c:pt idx="28" formatCode="#,##0.00">
                  <c:v>0</c:v>
                </c:pt>
                <c:pt idx="29" formatCode="#,##0.00">
                  <c:v>0</c:v>
                </c:pt>
                <c:pt idx="30" formatCode="#,##0.00">
                  <c:v>0</c:v>
                </c:pt>
                <c:pt idx="31" formatCode="#,##0.00">
                  <c:v>0</c:v>
                </c:pt>
                <c:pt idx="32" formatCode="#,##0.00">
                  <c:v>0</c:v>
                </c:pt>
                <c:pt idx="33" formatCode="#,##0.00">
                  <c:v>0</c:v>
                </c:pt>
              </c:numCache>
            </c:numRef>
          </c:val>
          <c:smooth val="0"/>
          <c:extLst>
            <c:ext xmlns:c16="http://schemas.microsoft.com/office/drawing/2014/chart" uri="{C3380CC4-5D6E-409C-BE32-E72D297353CC}">
              <c16:uniqueId val="{00000001-261A-459F-AFD2-4C3C585405CC}"/>
            </c:ext>
          </c:extLst>
        </c:ser>
        <c:dLbls>
          <c:showLegendKey val="0"/>
          <c:showVal val="0"/>
          <c:showCatName val="0"/>
          <c:showSerName val="0"/>
          <c:showPercent val="0"/>
          <c:showBubbleSize val="0"/>
        </c:dLbls>
        <c:marker val="1"/>
        <c:smooth val="0"/>
        <c:axId val="957536895"/>
        <c:axId val="983038143"/>
      </c:lineChart>
      <c:catAx>
        <c:axId val="957536895"/>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crossAx val="983038143"/>
        <c:crosses val="autoZero"/>
        <c:auto val="1"/>
        <c:lblAlgn val="ctr"/>
        <c:lblOffset val="100"/>
        <c:noMultiLvlLbl val="0"/>
      </c:catAx>
      <c:valAx>
        <c:axId val="98303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pt-BR"/>
                  <a:t>Vaor do D/E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title>
        <c:numFmt formatCode="#,##0.00\x"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crossAx val="957536895"/>
        <c:crosses val="autoZero"/>
        <c:crossBetween val="between"/>
      </c:valAx>
      <c:valAx>
        <c:axId val="833582175"/>
        <c:scaling>
          <c:orientation val="minMax"/>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pt-BR"/>
                  <a:t>Valor Coeficiente Beta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crossAx val="967774863"/>
        <c:crosses val="max"/>
        <c:crossBetween val="between"/>
      </c:valAx>
      <c:catAx>
        <c:axId val="967774863"/>
        <c:scaling>
          <c:orientation val="minMax"/>
        </c:scaling>
        <c:delete val="1"/>
        <c:axPos val="b"/>
        <c:numFmt formatCode="General" sourceLinked="1"/>
        <c:majorTickMark val="out"/>
        <c:minorTickMark val="none"/>
        <c:tickLblPos val="nextTo"/>
        <c:crossAx val="833582175"/>
        <c:crosses val="autoZero"/>
        <c:auto val="1"/>
        <c:lblAlgn val="ctr"/>
        <c:lblOffset val="100"/>
        <c:noMultiLvlLbl val="0"/>
      </c:catAx>
      <c:spPr>
        <a:noFill/>
        <a:ln>
          <a:solidFill>
            <a:schemeClr val="bg1">
              <a:lumMod val="85000"/>
            </a:schemeClr>
          </a:solidFill>
        </a:ln>
        <a:effectLst/>
      </c:spPr>
    </c:plotArea>
    <c:legend>
      <c:legendPos val="b"/>
      <c:layout>
        <c:manualLayout>
          <c:xMode val="edge"/>
          <c:yMode val="edge"/>
          <c:x val="0.28123738766792489"/>
          <c:y val="0.91812353736746932"/>
          <c:w val="0.42775723485188616"/>
          <c:h val="5.9409011688676613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57563293846089"/>
          <c:y val="5.0961315728515172E-2"/>
          <c:w val="0.87184159713153142"/>
          <c:h val="0.73324846147719924"/>
        </c:manualLayout>
      </c:layout>
      <c:barChart>
        <c:barDir val="col"/>
        <c:grouping val="clustered"/>
        <c:varyColors val="0"/>
        <c:ser>
          <c:idx val="0"/>
          <c:order val="0"/>
          <c:tx>
            <c:strRef>
              <c:f>'Avaliação e Simulações'!$A$20</c:f>
              <c:strCache>
                <c:ptCount val="1"/>
                <c:pt idx="0">
                  <c:v>Ke BR</c:v>
                </c:pt>
              </c:strCache>
            </c:strRef>
          </c:tx>
          <c:spPr>
            <a:solidFill>
              <a:schemeClr val="bg1">
                <a:lumMod val="85000"/>
              </a:schemeClr>
            </a:solidFill>
            <a:ln>
              <a:solidFill>
                <a:schemeClr val="tx1"/>
              </a:solidFill>
            </a:ln>
            <a:effectLst/>
          </c:spPr>
          <c:invertIfNegative val="0"/>
          <c:cat>
            <c:strRef>
              <c:extLst>
                <c:ext xmlns:c15="http://schemas.microsoft.com/office/drawing/2012/chart" uri="{02D57815-91ED-43cb-92C2-25804820EDAC}">
                  <c15:fullRef>
                    <c15:sqref>'Avaliação e Simulações'!$B$1:$AU$1</c15:sqref>
                  </c15:fullRef>
                </c:ext>
              </c:extLst>
              <c:f>'Avaliação e Simulações'!$E$1:$AK$1</c:f>
              <c:strCach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strCache>
            </c:strRef>
          </c:cat>
          <c:val>
            <c:numRef>
              <c:extLst>
                <c:ext xmlns:c15="http://schemas.microsoft.com/office/drawing/2012/chart" uri="{02D57815-91ED-43cb-92C2-25804820EDAC}">
                  <c15:fullRef>
                    <c15:sqref>'Avaliação e Simulações'!$B$20:$AU$20</c15:sqref>
                  </c15:fullRef>
                </c:ext>
              </c:extLst>
              <c:f>'Avaliação e Simulações'!$E$20:$AK$20</c:f>
              <c:numCache>
                <c:formatCode>General</c:formatCode>
                <c:ptCount val="33"/>
                <c:pt idx="0" formatCode="0.0%">
                  <c:v>0</c:v>
                </c:pt>
                <c:pt idx="1" formatCode="0.0%">
                  <c:v>0.13137216304027288</c:v>
                </c:pt>
                <c:pt idx="2" formatCode="0.0%">
                  <c:v>0.12595943691170208</c:v>
                </c:pt>
                <c:pt idx="3" formatCode="0.0%">
                  <c:v>0.12501487163306391</c:v>
                </c:pt>
                <c:pt idx="4" formatCode="0.0%">
                  <c:v>0.12110577092730201</c:v>
                </c:pt>
                <c:pt idx="5" formatCode="0.0%">
                  <c:v>0.12136104236363954</c:v>
                </c:pt>
                <c:pt idx="6" formatCode="0.0%">
                  <c:v>0.12136104236363954</c:v>
                </c:pt>
                <c:pt idx="7" formatCode="0.0%">
                  <c:v>0.12077198536196709</c:v>
                </c:pt>
                <c:pt idx="8" formatCode="0.0%">
                  <c:v>0.12077198536196709</c:v>
                </c:pt>
                <c:pt idx="9" formatCode="0.0%">
                  <c:v>0.12077198536196709</c:v>
                </c:pt>
                <c:pt idx="10" formatCode="0.0%">
                  <c:v>0.1260626398936604</c:v>
                </c:pt>
                <c:pt idx="11" formatCode="0.0%">
                  <c:v>0.1260626398936604</c:v>
                </c:pt>
                <c:pt idx="12" formatCode="0.0%">
                  <c:v>0.1260626398936604</c:v>
                </c:pt>
                <c:pt idx="13" formatCode="0.0%">
                  <c:v>0.1260626398936604</c:v>
                </c:pt>
                <c:pt idx="14" formatCode="0.0%">
                  <c:v>0.1260626398936604</c:v>
                </c:pt>
                <c:pt idx="15" formatCode="0.0%">
                  <c:v>0.1260626398936604</c:v>
                </c:pt>
                <c:pt idx="16" formatCode="0.0%">
                  <c:v>0.1260626398936604</c:v>
                </c:pt>
                <c:pt idx="17" formatCode="0.0%">
                  <c:v>0.1260626398936604</c:v>
                </c:pt>
                <c:pt idx="18" formatCode="0.0%">
                  <c:v>0.1260626398936604</c:v>
                </c:pt>
                <c:pt idx="19" formatCode="0.0%">
                  <c:v>0.1260626398936604</c:v>
                </c:pt>
                <c:pt idx="20" formatCode="0.0%">
                  <c:v>0.12050556359206821</c:v>
                </c:pt>
                <c:pt idx="21" formatCode="0.0%">
                  <c:v>0.12050556359206821</c:v>
                </c:pt>
                <c:pt idx="22" formatCode="0.0%">
                  <c:v>0.12050556359206821</c:v>
                </c:pt>
                <c:pt idx="23" formatCode="0.0%">
                  <c:v>0.12050556359206821</c:v>
                </c:pt>
                <c:pt idx="24" formatCode="0.0%">
                  <c:v>0.12050556359206821</c:v>
                </c:pt>
                <c:pt idx="25" formatCode="0.0%">
                  <c:v>0.12050556359206821</c:v>
                </c:pt>
                <c:pt idx="26" formatCode="0.0%">
                  <c:v>0.12050556359206821</c:v>
                </c:pt>
                <c:pt idx="27" formatCode="0.0%">
                  <c:v>0.12050556359206821</c:v>
                </c:pt>
                <c:pt idx="28" formatCode="0.0%">
                  <c:v>0.12050556359206821</c:v>
                </c:pt>
                <c:pt idx="29" formatCode="0.0%">
                  <c:v>0.12050556359206821</c:v>
                </c:pt>
                <c:pt idx="30" formatCode="0.0%">
                  <c:v>0.12050556359206821</c:v>
                </c:pt>
                <c:pt idx="31" formatCode="0.0%">
                  <c:v>0.12050556359206821</c:v>
                </c:pt>
                <c:pt idx="32" formatCode="0.0%">
                  <c:v>0.12050556359206821</c:v>
                </c:pt>
              </c:numCache>
            </c:numRef>
          </c:val>
          <c:extLst>
            <c:ext xmlns:c16="http://schemas.microsoft.com/office/drawing/2014/chart" uri="{C3380CC4-5D6E-409C-BE32-E72D297353CC}">
              <c16:uniqueId val="{00000000-A597-4048-AA52-8EFFA22783E4}"/>
            </c:ext>
          </c:extLst>
        </c:ser>
        <c:dLbls>
          <c:showLegendKey val="0"/>
          <c:showVal val="0"/>
          <c:showCatName val="0"/>
          <c:showSerName val="0"/>
          <c:showPercent val="0"/>
          <c:showBubbleSize val="0"/>
        </c:dLbls>
        <c:gapWidth val="150"/>
        <c:axId val="967785423"/>
        <c:axId val="1005893311"/>
      </c:barChart>
      <c:catAx>
        <c:axId val="96778542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pt-BR"/>
                  <a:t>Período</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crossAx val="1005893311"/>
        <c:crosses val="autoZero"/>
        <c:auto val="1"/>
        <c:lblAlgn val="ctr"/>
        <c:lblOffset val="100"/>
        <c:noMultiLvlLbl val="0"/>
      </c:catAx>
      <c:valAx>
        <c:axId val="100589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pt-BR"/>
                  <a:t>Valor do Custo de Capital dos  Acionistas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crossAx val="967785423"/>
        <c:crosses val="autoZero"/>
        <c:crossBetween val="between"/>
      </c:valAx>
      <c:spPr>
        <a:noFill/>
        <a:ln>
          <a:solidFill>
            <a:schemeClr val="bg1">
              <a:lumMod val="85000"/>
            </a:schemeClr>
          </a:solidFill>
        </a:ln>
        <a:effectLst/>
      </c:spPr>
    </c:plotArea>
    <c:legend>
      <c:legendPos val="r"/>
      <c:layout>
        <c:manualLayout>
          <c:xMode val="edge"/>
          <c:yMode val="edge"/>
          <c:x val="0.49600937464269496"/>
          <c:y val="0.92421719084148035"/>
          <c:w val="9.0766334935674264E-2"/>
          <c:h val="7.3552871259659994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63494560058894"/>
          <c:y val="5.1425899953249185E-2"/>
          <c:w val="0.80884764560484868"/>
          <c:h val="0.74240773432099083"/>
        </c:manualLayout>
      </c:layout>
      <c:lineChart>
        <c:grouping val="standard"/>
        <c:varyColors val="0"/>
        <c:ser>
          <c:idx val="1"/>
          <c:order val="0"/>
          <c:tx>
            <c:strRef>
              <c:f>'Gráficos - Monografia'!$A$180</c:f>
              <c:strCache>
                <c:ptCount val="1"/>
                <c:pt idx="0">
                  <c:v>Variação do Capital de Giro</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ext>
              </c:extLst>
              <c:f>'Gráficos - Monografia'!$B$169:$AG$169</c:f>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numCache>
            </c:numRef>
          </c:cat>
          <c:val>
            <c:numRef>
              <c:extLst>
                <c:ext xmlns:c15="http://schemas.microsoft.com/office/drawing/2012/chart" uri="{02D57815-91ED-43cb-92C2-25804820EDAC}">
                  <c15:fullRef>
                    <c15:sqref>'Gráficos - Monografia'!$B$180:$AQ$180</c15:sqref>
                  </c15:fullRef>
                </c:ext>
              </c:extLst>
              <c:f>'Gráficos - Monografia'!$B$180:$AG$180</c:f>
              <c:numCache>
                <c:formatCode>#,##0</c:formatCode>
                <c:ptCount val="32"/>
                <c:pt idx="0">
                  <c:v>-1082.6085989700173</c:v>
                </c:pt>
                <c:pt idx="1">
                  <c:v>-580.48134218906705</c:v>
                </c:pt>
                <c:pt idx="2">
                  <c:v>34.394185195168482</c:v>
                </c:pt>
                <c:pt idx="3">
                  <c:v>-15.756499500703532</c:v>
                </c:pt>
                <c:pt idx="4">
                  <c:v>200.52097917740372</c:v>
                </c:pt>
                <c:pt idx="5">
                  <c:v>13.530800975340419</c:v>
                </c:pt>
                <c:pt idx="6">
                  <c:v>287.95682717192636</c:v>
                </c:pt>
                <c:pt idx="7">
                  <c:v>403.67556671605769</c:v>
                </c:pt>
                <c:pt idx="8">
                  <c:v>244.38426108784438</c:v>
                </c:pt>
                <c:pt idx="9">
                  <c:v>196.66342060175981</c:v>
                </c:pt>
                <c:pt idx="10">
                  <c:v>168.45813702328411</c:v>
                </c:pt>
                <c:pt idx="11">
                  <c:v>171.85625586552359</c:v>
                </c:pt>
                <c:pt idx="12">
                  <c:v>176.06042563267403</c:v>
                </c:pt>
                <c:pt idx="13">
                  <c:v>147.34130428998614</c:v>
                </c:pt>
                <c:pt idx="14">
                  <c:v>107.73225064288185</c:v>
                </c:pt>
                <c:pt idx="15">
                  <c:v>82.225582530084878</c:v>
                </c:pt>
                <c:pt idx="16">
                  <c:v>189.31420478327701</c:v>
                </c:pt>
                <c:pt idx="17">
                  <c:v>78.444894486394475</c:v>
                </c:pt>
                <c:pt idx="18">
                  <c:v>69.787769434820163</c:v>
                </c:pt>
                <c:pt idx="19">
                  <c:v>65.991442436840728</c:v>
                </c:pt>
                <c:pt idx="20">
                  <c:v>51.827280256567349</c:v>
                </c:pt>
                <c:pt idx="21">
                  <c:v>56.934347450671602</c:v>
                </c:pt>
                <c:pt idx="22">
                  <c:v>32.785039290965969</c:v>
                </c:pt>
                <c:pt idx="23">
                  <c:v>25.605301720787015</c:v>
                </c:pt>
                <c:pt idx="24">
                  <c:v>22.200317614023195</c:v>
                </c:pt>
                <c:pt idx="25">
                  <c:v>39.563841039256481</c:v>
                </c:pt>
                <c:pt idx="26">
                  <c:v>22.550319884034952</c:v>
                </c:pt>
                <c:pt idx="27">
                  <c:v>14.216320325330628</c:v>
                </c:pt>
                <c:pt idx="28">
                  <c:v>118.81697771128709</c:v>
                </c:pt>
                <c:pt idx="29">
                  <c:v>0</c:v>
                </c:pt>
                <c:pt idx="30">
                  <c:v>0</c:v>
                </c:pt>
                <c:pt idx="31">
                  <c:v>0</c:v>
                </c:pt>
              </c:numCache>
            </c:numRef>
          </c:val>
          <c:smooth val="0"/>
          <c:extLst>
            <c:ext xmlns:c16="http://schemas.microsoft.com/office/drawing/2014/chart" uri="{C3380CC4-5D6E-409C-BE32-E72D297353CC}">
              <c16:uniqueId val="{00000000-E578-4958-81E5-5B948DD2CB15}"/>
            </c:ext>
          </c:extLst>
        </c:ser>
        <c:dLbls>
          <c:showLegendKey val="0"/>
          <c:showVal val="0"/>
          <c:showCatName val="0"/>
          <c:showSerName val="0"/>
          <c:showPercent val="0"/>
          <c:showBubbleSize val="0"/>
        </c:dLbls>
        <c:smooth val="0"/>
        <c:axId val="1340672367"/>
        <c:axId val="1199289631"/>
      </c:lineChart>
      <c:catAx>
        <c:axId val="134067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199289631"/>
        <c:crosses val="autoZero"/>
        <c:auto val="1"/>
        <c:lblAlgn val="ctr"/>
        <c:lblOffset val="100"/>
        <c:noMultiLvlLbl val="0"/>
      </c:catAx>
      <c:valAx>
        <c:axId val="11992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Milhões de </a:t>
                </a:r>
                <a:r>
                  <a:rPr lang="pt-BR" baseline="0"/>
                  <a:t>Reais (R$ mi)</a:t>
                </a:r>
                <a:endParaRPr lang="pt-BR"/>
              </a:p>
            </c:rich>
          </c:tx>
          <c:layout>
            <c:manualLayout>
              <c:xMode val="edge"/>
              <c:yMode val="edge"/>
              <c:x val="2.4968789013732832E-2"/>
              <c:y val="0.105488619672891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340672367"/>
        <c:crosses val="autoZero"/>
        <c:crossBetween val="between"/>
      </c:valAx>
      <c:spPr>
        <a:noFill/>
        <a:ln>
          <a:solidFill>
            <a:schemeClr val="bg1">
              <a:lumMod val="85000"/>
            </a:schemeClr>
          </a:solidFill>
        </a:ln>
        <a:effectLst/>
      </c:spPr>
    </c:plotArea>
    <c:legend>
      <c:legendPos val="b"/>
      <c:layout>
        <c:manualLayout>
          <c:xMode val="edge"/>
          <c:yMode val="edge"/>
          <c:x val="0.27236454478059324"/>
          <c:y val="0.92115322619135109"/>
          <c:w val="0.51624580959744859"/>
          <c:h val="7.41718295030792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85855543336164"/>
          <c:y val="5.0355570886910471E-2"/>
          <c:w val="0.82302499864785417"/>
          <c:h val="0.68455569048589693"/>
        </c:manualLayout>
      </c:layout>
      <c:lineChart>
        <c:grouping val="standard"/>
        <c:varyColors val="0"/>
        <c:ser>
          <c:idx val="0"/>
          <c:order val="0"/>
          <c:tx>
            <c:strRef>
              <c:f>'Gráficos - Monografia'!$A$52</c:f>
              <c:strCache>
                <c:ptCount val="1"/>
                <c:pt idx="0">
                  <c:v>Produção Líquida de Gás Natural - 1P</c:v>
                </c:pt>
              </c:strCache>
            </c:strRef>
          </c:tx>
          <c:spPr>
            <a:ln w="12700" cap="rnd">
              <a:solidFill>
                <a:srgbClr val="C00000"/>
              </a:solidFill>
              <a:round/>
            </a:ln>
            <a:effectLst/>
          </c:spPr>
          <c:marker>
            <c:symbol val="none"/>
          </c:marker>
          <c:cat>
            <c:numRef>
              <c:extLst>
                <c:ext xmlns:c15="http://schemas.microsoft.com/office/drawing/2012/chart" uri="{02D57815-91ED-43cb-92C2-25804820EDAC}">
                  <c15:fullRef>
                    <c15:sqref>'Gráficos - Monografia'!$B$51:$AQ$51</c15:sqref>
                  </c15:fullRef>
                </c:ext>
              </c:extLst>
              <c:f>'Gráficos - Monografia'!$B$51:$AH$51</c:f>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numCache>
            </c:numRef>
          </c:cat>
          <c:val>
            <c:numRef>
              <c:extLst>
                <c:ext xmlns:c15="http://schemas.microsoft.com/office/drawing/2012/chart" uri="{02D57815-91ED-43cb-92C2-25804820EDAC}">
                  <c15:fullRef>
                    <c15:sqref>'Gráficos - Monografia'!$B$52:$AQ$52</c15:sqref>
                  </c15:fullRef>
                </c:ext>
              </c:extLst>
              <c:f>'Gráficos - Monografia'!$B$52:$AH$52</c:f>
              <c:numCache>
                <c:formatCode>General</c:formatCode>
                <c:ptCount val="33"/>
                <c:pt idx="0">
                  <c:v>11070</c:v>
                </c:pt>
                <c:pt idx="1">
                  <c:v>17222</c:v>
                </c:pt>
                <c:pt idx="2">
                  <c:v>18962</c:v>
                </c:pt>
                <c:pt idx="3">
                  <c:v>22273</c:v>
                </c:pt>
                <c:pt idx="4">
                  <c:v>21972</c:v>
                </c:pt>
                <c:pt idx="5">
                  <c:v>21683</c:v>
                </c:pt>
                <c:pt idx="6">
                  <c:v>19774</c:v>
                </c:pt>
                <c:pt idx="7">
                  <c:v>17000</c:v>
                </c:pt>
                <c:pt idx="8">
                  <c:v>14357</c:v>
                </c:pt>
                <c:pt idx="9">
                  <c:v>11543</c:v>
                </c:pt>
                <c:pt idx="10">
                  <c:v>8945</c:v>
                </c:pt>
                <c:pt idx="11">
                  <c:v>6896</c:v>
                </c:pt>
                <c:pt idx="12">
                  <c:v>5081</c:v>
                </c:pt>
                <c:pt idx="13">
                  <c:v>3548</c:v>
                </c:pt>
                <c:pt idx="14">
                  <c:v>3053</c:v>
                </c:pt>
                <c:pt idx="15">
                  <c:v>2673</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0-686F-4E45-9B24-1CAA681EBC3A}"/>
            </c:ext>
          </c:extLst>
        </c:ser>
        <c:ser>
          <c:idx val="1"/>
          <c:order val="1"/>
          <c:tx>
            <c:strRef>
              <c:f>'Gráficos - Monografia'!$A$53</c:f>
              <c:strCache>
                <c:ptCount val="1"/>
                <c:pt idx="0">
                  <c:v>Produção Líquida de Gás Natural - 2P</c:v>
                </c:pt>
              </c:strCache>
            </c:strRef>
          </c:tx>
          <c:spPr>
            <a:ln w="12700" cap="rnd">
              <a:solidFill>
                <a:schemeClr val="accent4">
                  <a:lumMod val="50000"/>
                </a:schemeClr>
              </a:solidFill>
              <a:round/>
            </a:ln>
            <a:effectLst/>
          </c:spPr>
          <c:marker>
            <c:symbol val="none"/>
          </c:marker>
          <c:cat>
            <c:numRef>
              <c:extLst>
                <c:ext xmlns:c15="http://schemas.microsoft.com/office/drawing/2012/chart" uri="{02D57815-91ED-43cb-92C2-25804820EDAC}">
                  <c15:fullRef>
                    <c15:sqref>'Gráficos - Monografia'!$B$51:$AQ$51</c15:sqref>
                  </c15:fullRef>
                </c:ext>
              </c:extLst>
              <c:f>'Gráficos - Monografia'!$B$51:$AH$51</c:f>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numCache>
            </c:numRef>
          </c:cat>
          <c:val>
            <c:numRef>
              <c:extLst>
                <c:ext xmlns:c15="http://schemas.microsoft.com/office/drawing/2012/chart" uri="{02D57815-91ED-43cb-92C2-25804820EDAC}">
                  <c15:fullRef>
                    <c15:sqref>'Gráficos - Monografia'!$B$53:$AQ$53</c15:sqref>
                  </c15:fullRef>
                </c:ext>
              </c:extLst>
              <c:f>'Gráficos - Monografia'!$B$53:$AH$53</c:f>
              <c:numCache>
                <c:formatCode>General</c:formatCode>
                <c:ptCount val="33"/>
                <c:pt idx="0">
                  <c:v>12700</c:v>
                </c:pt>
                <c:pt idx="1">
                  <c:v>21942</c:v>
                </c:pt>
                <c:pt idx="2">
                  <c:v>24515</c:v>
                </c:pt>
                <c:pt idx="3">
                  <c:v>28630</c:v>
                </c:pt>
                <c:pt idx="4">
                  <c:v>31459</c:v>
                </c:pt>
                <c:pt idx="5">
                  <c:v>35441</c:v>
                </c:pt>
                <c:pt idx="6">
                  <c:v>31241</c:v>
                </c:pt>
                <c:pt idx="7">
                  <c:v>23464</c:v>
                </c:pt>
                <c:pt idx="8">
                  <c:v>17553</c:v>
                </c:pt>
                <c:pt idx="9">
                  <c:v>13666</c:v>
                </c:pt>
                <c:pt idx="10">
                  <c:v>10927</c:v>
                </c:pt>
                <c:pt idx="11">
                  <c:v>8540</c:v>
                </c:pt>
                <c:pt idx="12">
                  <c:v>6399</c:v>
                </c:pt>
                <c:pt idx="13">
                  <c:v>4804</c:v>
                </c:pt>
                <c:pt idx="14">
                  <c:v>3775</c:v>
                </c:pt>
                <c:pt idx="15">
                  <c:v>393</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1-686F-4E45-9B24-1CAA681EBC3A}"/>
            </c:ext>
          </c:extLst>
        </c:ser>
        <c:ser>
          <c:idx val="2"/>
          <c:order val="2"/>
          <c:tx>
            <c:strRef>
              <c:f>'Gráficos - Monografia'!$A$54</c:f>
              <c:strCache>
                <c:ptCount val="1"/>
                <c:pt idx="0">
                  <c:v>Produção Líquida de Gás Natural - 3P</c:v>
                </c:pt>
              </c:strCache>
            </c:strRef>
          </c:tx>
          <c:spPr>
            <a:ln w="12700" cap="rnd">
              <a:solidFill>
                <a:schemeClr val="accent6">
                  <a:lumMod val="50000"/>
                </a:schemeClr>
              </a:solidFill>
              <a:round/>
            </a:ln>
            <a:effectLst/>
          </c:spPr>
          <c:marker>
            <c:symbol val="none"/>
          </c:marker>
          <c:cat>
            <c:numRef>
              <c:extLst>
                <c:ext xmlns:c15="http://schemas.microsoft.com/office/drawing/2012/chart" uri="{02D57815-91ED-43cb-92C2-25804820EDAC}">
                  <c15:fullRef>
                    <c15:sqref>'Gráficos - Monografia'!$B$51:$AQ$51</c15:sqref>
                  </c15:fullRef>
                </c:ext>
              </c:extLst>
              <c:f>'Gráficos - Monografia'!$B$51:$AH$51</c:f>
              <c:numCache>
                <c:formatCode>General</c:formatCode>
                <c:ptCount val="3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numCache>
            </c:numRef>
          </c:cat>
          <c:val>
            <c:numRef>
              <c:extLst>
                <c:ext xmlns:c15="http://schemas.microsoft.com/office/drawing/2012/chart" uri="{02D57815-91ED-43cb-92C2-25804820EDAC}">
                  <c15:fullRef>
                    <c15:sqref>'Gráficos - Monografia'!$B$54:$AQ$54</c15:sqref>
                  </c15:fullRef>
                </c:ext>
              </c:extLst>
              <c:f>'Gráficos - Monografia'!$B$54:$AH$54</c:f>
              <c:numCache>
                <c:formatCode>General</c:formatCode>
                <c:ptCount val="33"/>
                <c:pt idx="0">
                  <c:v>13740</c:v>
                </c:pt>
                <c:pt idx="1">
                  <c:v>24754</c:v>
                </c:pt>
                <c:pt idx="2">
                  <c:v>29223</c:v>
                </c:pt>
                <c:pt idx="3">
                  <c:v>38008</c:v>
                </c:pt>
                <c:pt idx="4">
                  <c:v>37888</c:v>
                </c:pt>
                <c:pt idx="5">
                  <c:v>33604</c:v>
                </c:pt>
                <c:pt idx="6">
                  <c:v>28858</c:v>
                </c:pt>
                <c:pt idx="7">
                  <c:v>22736</c:v>
                </c:pt>
                <c:pt idx="8">
                  <c:v>18312</c:v>
                </c:pt>
                <c:pt idx="9">
                  <c:v>15263</c:v>
                </c:pt>
                <c:pt idx="10">
                  <c:v>13093</c:v>
                </c:pt>
                <c:pt idx="11">
                  <c:v>11230</c:v>
                </c:pt>
                <c:pt idx="12">
                  <c:v>9570</c:v>
                </c:pt>
                <c:pt idx="13">
                  <c:v>8101</c:v>
                </c:pt>
                <c:pt idx="14">
                  <c:v>6650</c:v>
                </c:pt>
                <c:pt idx="15">
                  <c:v>5437</c:v>
                </c:pt>
                <c:pt idx="16">
                  <c:v>4562</c:v>
                </c:pt>
                <c:pt idx="17">
                  <c:v>3804</c:v>
                </c:pt>
                <c:pt idx="18">
                  <c:v>3019</c:v>
                </c:pt>
                <c:pt idx="19">
                  <c:v>2598</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2-686F-4E45-9B24-1CAA681EBC3A}"/>
            </c:ext>
          </c:extLst>
        </c:ser>
        <c:dLbls>
          <c:showLegendKey val="0"/>
          <c:showVal val="0"/>
          <c:showCatName val="0"/>
          <c:showSerName val="0"/>
          <c:showPercent val="0"/>
          <c:showBubbleSize val="0"/>
        </c:dLbls>
        <c:smooth val="0"/>
        <c:axId val="1013842208"/>
        <c:axId val="958026128"/>
      </c:lineChart>
      <c:catAx>
        <c:axId val="101384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Ano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958026128"/>
        <c:crosses val="autoZero"/>
        <c:auto val="1"/>
        <c:lblAlgn val="ctr"/>
        <c:lblOffset val="100"/>
        <c:noMultiLvlLbl val="0"/>
      </c:catAx>
      <c:valAx>
        <c:axId val="95802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Mil pés</a:t>
                </a:r>
                <a:r>
                  <a:rPr lang="pt-BR" baseline="0"/>
                  <a:t> cúbicos (mil ft³)</a:t>
                </a:r>
                <a:endParaRPr lang="pt-B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013842208"/>
        <c:crosses val="autoZero"/>
        <c:crossBetween val="between"/>
      </c:valAx>
      <c:spPr>
        <a:noFill/>
        <a:ln>
          <a:solidFill>
            <a:schemeClr val="bg1">
              <a:lumMod val="85000"/>
            </a:schemeClr>
          </a:solidFill>
        </a:ln>
        <a:effectLst/>
      </c:spPr>
    </c:plotArea>
    <c:legend>
      <c:legendPos val="b"/>
      <c:layout>
        <c:manualLayout>
          <c:xMode val="edge"/>
          <c:yMode val="edge"/>
          <c:x val="0"/>
          <c:y val="0.88969354471859452"/>
          <c:w val="1"/>
          <c:h val="0.110306455281405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28813422693726"/>
          <c:y val="5.0926001668766256E-2"/>
          <c:w val="0.84572440944881888"/>
          <c:h val="0.62859539557345623"/>
        </c:manualLayout>
      </c:layout>
      <c:lineChart>
        <c:grouping val="standard"/>
        <c:varyColors val="0"/>
        <c:ser>
          <c:idx val="0"/>
          <c:order val="0"/>
          <c:spPr>
            <a:ln w="12700" cap="rnd">
              <a:solidFill>
                <a:schemeClr val="tx1"/>
              </a:solidFill>
              <a:round/>
            </a:ln>
            <a:effectLst/>
          </c:spPr>
          <c:marker>
            <c:symbol val="none"/>
          </c:marker>
          <c:cat>
            <c:numRef>
              <c:f>'Drivers Macroeconômico'!$C$3:$C$89</c:f>
              <c:numCache>
                <c:formatCode>m/d/yyyy</c:formatCode>
                <c:ptCount val="87"/>
                <c:pt idx="0">
                  <c:v>45383</c:v>
                </c:pt>
                <c:pt idx="1">
                  <c:v>45413</c:v>
                </c:pt>
                <c:pt idx="2">
                  <c:v>45444</c:v>
                </c:pt>
                <c:pt idx="3">
                  <c:v>45474</c:v>
                </c:pt>
                <c:pt idx="4">
                  <c:v>45505</c:v>
                </c:pt>
                <c:pt idx="5">
                  <c:v>45536</c:v>
                </c:pt>
                <c:pt idx="6">
                  <c:v>45566</c:v>
                </c:pt>
                <c:pt idx="7">
                  <c:v>45597</c:v>
                </c:pt>
                <c:pt idx="8">
                  <c:v>45627</c:v>
                </c:pt>
                <c:pt idx="9">
                  <c:v>45658</c:v>
                </c:pt>
                <c:pt idx="10">
                  <c:v>45689</c:v>
                </c:pt>
                <c:pt idx="11">
                  <c:v>45717</c:v>
                </c:pt>
                <c:pt idx="12">
                  <c:v>45748</c:v>
                </c:pt>
                <c:pt idx="13">
                  <c:v>45778</c:v>
                </c:pt>
                <c:pt idx="14">
                  <c:v>45809</c:v>
                </c:pt>
                <c:pt idx="15">
                  <c:v>45839</c:v>
                </c:pt>
                <c:pt idx="16">
                  <c:v>45870</c:v>
                </c:pt>
                <c:pt idx="17">
                  <c:v>45901</c:v>
                </c:pt>
                <c:pt idx="18">
                  <c:v>45931</c:v>
                </c:pt>
                <c:pt idx="19">
                  <c:v>45962</c:v>
                </c:pt>
                <c:pt idx="20">
                  <c:v>45992</c:v>
                </c:pt>
                <c:pt idx="21">
                  <c:v>46023</c:v>
                </c:pt>
                <c:pt idx="22">
                  <c:v>46054</c:v>
                </c:pt>
                <c:pt idx="23">
                  <c:v>46082</c:v>
                </c:pt>
                <c:pt idx="24">
                  <c:v>46113</c:v>
                </c:pt>
                <c:pt idx="25">
                  <c:v>46143</c:v>
                </c:pt>
                <c:pt idx="26">
                  <c:v>46174</c:v>
                </c:pt>
                <c:pt idx="27">
                  <c:v>46204</c:v>
                </c:pt>
                <c:pt idx="28">
                  <c:v>46235</c:v>
                </c:pt>
                <c:pt idx="29">
                  <c:v>46266</c:v>
                </c:pt>
                <c:pt idx="30">
                  <c:v>46296</c:v>
                </c:pt>
                <c:pt idx="31">
                  <c:v>46327</c:v>
                </c:pt>
                <c:pt idx="32">
                  <c:v>46357</c:v>
                </c:pt>
                <c:pt idx="33">
                  <c:v>46388</c:v>
                </c:pt>
                <c:pt idx="34">
                  <c:v>46419</c:v>
                </c:pt>
                <c:pt idx="35">
                  <c:v>46447</c:v>
                </c:pt>
                <c:pt idx="36">
                  <c:v>46478</c:v>
                </c:pt>
                <c:pt idx="37">
                  <c:v>46508</c:v>
                </c:pt>
                <c:pt idx="38">
                  <c:v>46539</c:v>
                </c:pt>
                <c:pt idx="39">
                  <c:v>46569</c:v>
                </c:pt>
                <c:pt idx="40">
                  <c:v>46600</c:v>
                </c:pt>
                <c:pt idx="41">
                  <c:v>46631</c:v>
                </c:pt>
                <c:pt idx="42">
                  <c:v>46661</c:v>
                </c:pt>
                <c:pt idx="43">
                  <c:v>46692</c:v>
                </c:pt>
                <c:pt idx="44">
                  <c:v>46722</c:v>
                </c:pt>
                <c:pt idx="45">
                  <c:v>46753</c:v>
                </c:pt>
                <c:pt idx="46">
                  <c:v>46784</c:v>
                </c:pt>
                <c:pt idx="47">
                  <c:v>46813</c:v>
                </c:pt>
                <c:pt idx="48">
                  <c:v>46844</c:v>
                </c:pt>
                <c:pt idx="49">
                  <c:v>46874</c:v>
                </c:pt>
                <c:pt idx="50">
                  <c:v>46905</c:v>
                </c:pt>
                <c:pt idx="51">
                  <c:v>46935</c:v>
                </c:pt>
                <c:pt idx="52">
                  <c:v>46966</c:v>
                </c:pt>
                <c:pt idx="53">
                  <c:v>46997</c:v>
                </c:pt>
                <c:pt idx="54">
                  <c:v>47027</c:v>
                </c:pt>
                <c:pt idx="55">
                  <c:v>47058</c:v>
                </c:pt>
                <c:pt idx="56">
                  <c:v>47088</c:v>
                </c:pt>
                <c:pt idx="57">
                  <c:v>47119</c:v>
                </c:pt>
                <c:pt idx="58">
                  <c:v>47150</c:v>
                </c:pt>
                <c:pt idx="59">
                  <c:v>47178</c:v>
                </c:pt>
                <c:pt idx="60">
                  <c:v>47209</c:v>
                </c:pt>
                <c:pt idx="61">
                  <c:v>47239</c:v>
                </c:pt>
                <c:pt idx="62">
                  <c:v>47270</c:v>
                </c:pt>
                <c:pt idx="63">
                  <c:v>47300</c:v>
                </c:pt>
                <c:pt idx="64">
                  <c:v>47331</c:v>
                </c:pt>
                <c:pt idx="65">
                  <c:v>47362</c:v>
                </c:pt>
                <c:pt idx="66">
                  <c:v>47392</c:v>
                </c:pt>
                <c:pt idx="67">
                  <c:v>47423</c:v>
                </c:pt>
                <c:pt idx="68">
                  <c:v>47453</c:v>
                </c:pt>
                <c:pt idx="69">
                  <c:v>47484</c:v>
                </c:pt>
                <c:pt idx="70">
                  <c:v>47515</c:v>
                </c:pt>
                <c:pt idx="71">
                  <c:v>47543</c:v>
                </c:pt>
                <c:pt idx="72">
                  <c:v>47574</c:v>
                </c:pt>
                <c:pt idx="73">
                  <c:v>47604</c:v>
                </c:pt>
                <c:pt idx="74">
                  <c:v>47635</c:v>
                </c:pt>
                <c:pt idx="75">
                  <c:v>47665</c:v>
                </c:pt>
                <c:pt idx="76">
                  <c:v>47696</c:v>
                </c:pt>
                <c:pt idx="77">
                  <c:v>47727</c:v>
                </c:pt>
                <c:pt idx="78">
                  <c:v>47757</c:v>
                </c:pt>
                <c:pt idx="79">
                  <c:v>47788</c:v>
                </c:pt>
                <c:pt idx="80">
                  <c:v>47818</c:v>
                </c:pt>
                <c:pt idx="81">
                  <c:v>47849</c:v>
                </c:pt>
                <c:pt idx="82">
                  <c:v>47880</c:v>
                </c:pt>
                <c:pt idx="83">
                  <c:v>47908</c:v>
                </c:pt>
                <c:pt idx="84">
                  <c:v>47939</c:v>
                </c:pt>
                <c:pt idx="85">
                  <c:v>47969</c:v>
                </c:pt>
                <c:pt idx="86">
                  <c:v>48000</c:v>
                </c:pt>
              </c:numCache>
            </c:numRef>
          </c:cat>
          <c:val>
            <c:numRef>
              <c:f>'Drivers Macroeconômico'!$B$3:$B$89</c:f>
              <c:numCache>
                <c:formatCode>General</c:formatCode>
                <c:ptCount val="87"/>
                <c:pt idx="0" formatCode="0.00">
                  <c:v>84.75</c:v>
                </c:pt>
                <c:pt idx="1">
                  <c:v>85.42</c:v>
                </c:pt>
                <c:pt idx="2">
                  <c:v>84.74</c:v>
                </c:pt>
                <c:pt idx="3">
                  <c:v>84.03</c:v>
                </c:pt>
                <c:pt idx="4">
                  <c:v>83.33</c:v>
                </c:pt>
                <c:pt idx="5">
                  <c:v>82.62</c:v>
                </c:pt>
                <c:pt idx="6">
                  <c:v>81.93</c:v>
                </c:pt>
                <c:pt idx="7">
                  <c:v>81.28</c:v>
                </c:pt>
                <c:pt idx="8">
                  <c:v>80.680000000000007</c:v>
                </c:pt>
                <c:pt idx="9">
                  <c:v>80.099999999999994</c:v>
                </c:pt>
                <c:pt idx="10">
                  <c:v>79.569999999999993</c:v>
                </c:pt>
                <c:pt idx="11">
                  <c:v>79.099999999999994</c:v>
                </c:pt>
                <c:pt idx="12">
                  <c:v>78.67</c:v>
                </c:pt>
                <c:pt idx="13">
                  <c:v>78.260000000000005</c:v>
                </c:pt>
                <c:pt idx="14">
                  <c:v>77.900000000000006</c:v>
                </c:pt>
                <c:pt idx="15">
                  <c:v>77.53</c:v>
                </c:pt>
                <c:pt idx="16">
                  <c:v>77.17</c:v>
                </c:pt>
                <c:pt idx="17">
                  <c:v>76.83</c:v>
                </c:pt>
                <c:pt idx="18">
                  <c:v>76.510000000000005</c:v>
                </c:pt>
                <c:pt idx="19">
                  <c:v>76.19</c:v>
                </c:pt>
                <c:pt idx="20">
                  <c:v>75.87</c:v>
                </c:pt>
                <c:pt idx="21">
                  <c:v>75.55</c:v>
                </c:pt>
                <c:pt idx="22">
                  <c:v>75.260000000000005</c:v>
                </c:pt>
                <c:pt idx="23">
                  <c:v>74.989999999999995</c:v>
                </c:pt>
                <c:pt idx="24">
                  <c:v>74.709999999999994</c:v>
                </c:pt>
                <c:pt idx="25">
                  <c:v>74.45</c:v>
                </c:pt>
                <c:pt idx="26">
                  <c:v>74.23</c:v>
                </c:pt>
                <c:pt idx="27">
                  <c:v>73.98</c:v>
                </c:pt>
                <c:pt idx="28">
                  <c:v>73.739999999999995</c:v>
                </c:pt>
                <c:pt idx="29">
                  <c:v>73.510000000000005</c:v>
                </c:pt>
                <c:pt idx="30">
                  <c:v>73.3</c:v>
                </c:pt>
                <c:pt idx="31">
                  <c:v>73.08</c:v>
                </c:pt>
                <c:pt idx="32">
                  <c:v>72.88</c:v>
                </c:pt>
                <c:pt idx="33">
                  <c:v>72.67</c:v>
                </c:pt>
                <c:pt idx="34">
                  <c:v>72.489999999999995</c:v>
                </c:pt>
                <c:pt idx="35">
                  <c:v>72.31</c:v>
                </c:pt>
                <c:pt idx="36">
                  <c:v>72.16</c:v>
                </c:pt>
                <c:pt idx="37">
                  <c:v>72.010000000000005</c:v>
                </c:pt>
                <c:pt idx="38">
                  <c:v>71.88</c:v>
                </c:pt>
                <c:pt idx="39">
                  <c:v>71.72</c:v>
                </c:pt>
                <c:pt idx="40">
                  <c:v>71.569999999999993</c:v>
                </c:pt>
                <c:pt idx="41">
                  <c:v>71.400000000000006</c:v>
                </c:pt>
                <c:pt idx="42">
                  <c:v>71.239999999999995</c:v>
                </c:pt>
                <c:pt idx="43">
                  <c:v>71.12</c:v>
                </c:pt>
                <c:pt idx="44">
                  <c:v>71.010000000000005</c:v>
                </c:pt>
                <c:pt idx="45">
                  <c:v>70.92</c:v>
                </c:pt>
                <c:pt idx="46">
                  <c:v>70.84</c:v>
                </c:pt>
                <c:pt idx="47">
                  <c:v>70.75</c:v>
                </c:pt>
                <c:pt idx="48">
                  <c:v>70.64</c:v>
                </c:pt>
                <c:pt idx="49">
                  <c:v>70.55</c:v>
                </c:pt>
                <c:pt idx="50">
                  <c:v>70.489999999999995</c:v>
                </c:pt>
                <c:pt idx="51">
                  <c:v>70.41</c:v>
                </c:pt>
                <c:pt idx="52">
                  <c:v>70.33</c:v>
                </c:pt>
                <c:pt idx="53">
                  <c:v>70.239999999999995</c:v>
                </c:pt>
                <c:pt idx="54">
                  <c:v>70.16</c:v>
                </c:pt>
                <c:pt idx="55">
                  <c:v>70.099999999999994</c:v>
                </c:pt>
                <c:pt idx="56">
                  <c:v>70.06</c:v>
                </c:pt>
                <c:pt idx="57">
                  <c:v>70.040000000000006</c:v>
                </c:pt>
                <c:pt idx="58">
                  <c:v>70.02</c:v>
                </c:pt>
                <c:pt idx="59">
                  <c:v>70</c:v>
                </c:pt>
                <c:pt idx="60">
                  <c:v>69.98</c:v>
                </c:pt>
                <c:pt idx="61">
                  <c:v>69.97</c:v>
                </c:pt>
                <c:pt idx="62">
                  <c:v>69.95</c:v>
                </c:pt>
                <c:pt idx="63">
                  <c:v>69.930000000000007</c:v>
                </c:pt>
                <c:pt idx="64">
                  <c:v>69.91</c:v>
                </c:pt>
                <c:pt idx="65">
                  <c:v>69.900000000000006</c:v>
                </c:pt>
                <c:pt idx="66">
                  <c:v>69.900000000000006</c:v>
                </c:pt>
                <c:pt idx="67">
                  <c:v>69.89</c:v>
                </c:pt>
                <c:pt idx="68">
                  <c:v>69.88</c:v>
                </c:pt>
                <c:pt idx="69">
                  <c:v>69.88</c:v>
                </c:pt>
                <c:pt idx="70">
                  <c:v>69.88</c:v>
                </c:pt>
                <c:pt idx="71">
                  <c:v>69.88</c:v>
                </c:pt>
                <c:pt idx="72">
                  <c:v>69.88</c:v>
                </c:pt>
                <c:pt idx="73">
                  <c:v>69.89</c:v>
                </c:pt>
                <c:pt idx="74">
                  <c:v>69.900000000000006</c:v>
                </c:pt>
                <c:pt idx="75">
                  <c:v>69.900000000000006</c:v>
                </c:pt>
                <c:pt idx="76">
                  <c:v>69.900000000000006</c:v>
                </c:pt>
                <c:pt idx="77">
                  <c:v>69.900000000000006</c:v>
                </c:pt>
                <c:pt idx="78">
                  <c:v>69.900000000000006</c:v>
                </c:pt>
                <c:pt idx="79">
                  <c:v>69.91</c:v>
                </c:pt>
                <c:pt idx="80">
                  <c:v>69.92</c:v>
                </c:pt>
                <c:pt idx="81">
                  <c:v>69.92</c:v>
                </c:pt>
                <c:pt idx="82">
                  <c:v>69.92</c:v>
                </c:pt>
                <c:pt idx="83">
                  <c:v>69.92</c:v>
                </c:pt>
                <c:pt idx="84">
                  <c:v>69.92</c:v>
                </c:pt>
                <c:pt idx="85">
                  <c:v>69.92</c:v>
                </c:pt>
                <c:pt idx="86">
                  <c:v>69.92</c:v>
                </c:pt>
              </c:numCache>
            </c:numRef>
          </c:val>
          <c:smooth val="0"/>
          <c:extLst>
            <c:ext xmlns:c16="http://schemas.microsoft.com/office/drawing/2014/chart" uri="{C3380CC4-5D6E-409C-BE32-E72D297353CC}">
              <c16:uniqueId val="{00000000-84B4-4104-97BB-5D3DDB34FB7C}"/>
            </c:ext>
          </c:extLst>
        </c:ser>
        <c:dLbls>
          <c:showLegendKey val="0"/>
          <c:showVal val="0"/>
          <c:showCatName val="0"/>
          <c:showSerName val="0"/>
          <c:showPercent val="0"/>
          <c:showBubbleSize val="0"/>
        </c:dLbls>
        <c:smooth val="0"/>
        <c:axId val="1242783632"/>
        <c:axId val="1411793264"/>
      </c:lineChart>
      <c:dateAx>
        <c:axId val="124278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411793264"/>
        <c:crosses val="autoZero"/>
        <c:auto val="1"/>
        <c:lblOffset val="100"/>
        <c:baseTimeUnit val="months"/>
      </c:dateAx>
      <c:valAx>
        <c:axId val="141179326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Dólares por Barril ($/bbl)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242783632"/>
        <c:crosses val="autoZero"/>
        <c:crossBetween val="between"/>
      </c:valAx>
      <c:spPr>
        <a:noFill/>
        <a:ln>
          <a:solidFill>
            <a:schemeClr val="bg1">
              <a:lumMod val="85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32395442103253"/>
          <c:y val="5.0925925925925923E-2"/>
          <c:w val="0.8335641239753907"/>
          <c:h val="0.7588728492271799"/>
        </c:manualLayout>
      </c:layout>
      <c:barChart>
        <c:barDir val="col"/>
        <c:grouping val="clustered"/>
        <c:varyColors val="0"/>
        <c:ser>
          <c:idx val="0"/>
          <c:order val="0"/>
          <c:tx>
            <c:strRef>
              <c:f>'Avaliação e Simulações'!$A$20</c:f>
              <c:strCache>
                <c:ptCount val="1"/>
                <c:pt idx="0">
                  <c:v>Ke BR</c:v>
                </c:pt>
              </c:strCache>
            </c:strRef>
          </c:tx>
          <c:spPr>
            <a:solidFill>
              <a:schemeClr val="tx1"/>
            </a:solidFill>
            <a:ln>
              <a:solidFill>
                <a:schemeClr val="tx1"/>
              </a:solidFill>
            </a:ln>
            <a:effectLst/>
          </c:spPr>
          <c:invertIfNegative val="0"/>
          <c:cat>
            <c:strRef>
              <c:extLst>
                <c:ext xmlns:c15="http://schemas.microsoft.com/office/drawing/2012/chart" uri="{02D57815-91ED-43cb-92C2-25804820EDAC}">
                  <c15:fullRef>
                    <c15:sqref>'Avaliação e Simulações'!$B$1:$AU$1</c15:sqref>
                  </c15:fullRef>
                </c:ext>
              </c:extLst>
              <c:f>'Avaliação e Simulações'!$E$1:$AU$1</c:f>
              <c:strCache>
                <c:ptCount val="4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pt idx="42">
                  <c:v>2066</c:v>
                </c:pt>
              </c:strCache>
            </c:strRef>
          </c:cat>
          <c:val>
            <c:numRef>
              <c:extLst>
                <c:ext xmlns:c15="http://schemas.microsoft.com/office/drawing/2012/chart" uri="{02D57815-91ED-43cb-92C2-25804820EDAC}">
                  <c15:fullRef>
                    <c15:sqref>'Avaliação e Simulações'!$B$20:$AU$20</c15:sqref>
                  </c15:fullRef>
                </c:ext>
              </c:extLst>
              <c:f>'Avaliação e Simulações'!$E$20:$AU$20</c:f>
              <c:numCache>
                <c:formatCode>General</c:formatCode>
                <c:ptCount val="43"/>
                <c:pt idx="0" formatCode="0.0%">
                  <c:v>0</c:v>
                </c:pt>
                <c:pt idx="1" formatCode="0.0%">
                  <c:v>0.13137216304027288</c:v>
                </c:pt>
                <c:pt idx="2" formatCode="0.0%">
                  <c:v>0.12595943691170208</c:v>
                </c:pt>
                <c:pt idx="3" formatCode="0.0%">
                  <c:v>0.12501487163306391</c:v>
                </c:pt>
                <c:pt idx="4" formatCode="0.0%">
                  <c:v>0.12110577092730201</c:v>
                </c:pt>
                <c:pt idx="5" formatCode="0.0%">
                  <c:v>0.12136104236363954</c:v>
                </c:pt>
                <c:pt idx="6" formatCode="0.0%">
                  <c:v>0.12136104236363954</c:v>
                </c:pt>
                <c:pt idx="7" formatCode="0.0%">
                  <c:v>0.12077198536196709</c:v>
                </c:pt>
                <c:pt idx="8" formatCode="0.0%">
                  <c:v>0.12077198536196709</c:v>
                </c:pt>
                <c:pt idx="9" formatCode="0.0%">
                  <c:v>0.12077198536196709</c:v>
                </c:pt>
                <c:pt idx="10" formatCode="0.0%">
                  <c:v>0.1260626398936604</c:v>
                </c:pt>
                <c:pt idx="11" formatCode="0.0%">
                  <c:v>0.1260626398936604</c:v>
                </c:pt>
                <c:pt idx="12" formatCode="0.0%">
                  <c:v>0.1260626398936604</c:v>
                </c:pt>
                <c:pt idx="13" formatCode="0.0%">
                  <c:v>0.1260626398936604</c:v>
                </c:pt>
                <c:pt idx="14" formatCode="0.0%">
                  <c:v>0.1260626398936604</c:v>
                </c:pt>
                <c:pt idx="15" formatCode="0.0%">
                  <c:v>0.1260626398936604</c:v>
                </c:pt>
                <c:pt idx="16" formatCode="0.0%">
                  <c:v>0.1260626398936604</c:v>
                </c:pt>
                <c:pt idx="17" formatCode="0.0%">
                  <c:v>0.1260626398936604</c:v>
                </c:pt>
                <c:pt idx="18" formatCode="0.0%">
                  <c:v>0.1260626398936604</c:v>
                </c:pt>
                <c:pt idx="19" formatCode="0.0%">
                  <c:v>0.1260626398936604</c:v>
                </c:pt>
                <c:pt idx="20" formatCode="0.0%">
                  <c:v>0.12050556359206821</c:v>
                </c:pt>
                <c:pt idx="21" formatCode="0.0%">
                  <c:v>0.12050556359206821</c:v>
                </c:pt>
                <c:pt idx="22" formatCode="0.0%">
                  <c:v>0.12050556359206821</c:v>
                </c:pt>
                <c:pt idx="23" formatCode="0.0%">
                  <c:v>0.12050556359206821</c:v>
                </c:pt>
                <c:pt idx="24" formatCode="0.0%">
                  <c:v>0.12050556359206821</c:v>
                </c:pt>
                <c:pt idx="25" formatCode="0.0%">
                  <c:v>0.12050556359206821</c:v>
                </c:pt>
                <c:pt idx="26" formatCode="0.0%">
                  <c:v>0.12050556359206821</c:v>
                </c:pt>
                <c:pt idx="27" formatCode="0.0%">
                  <c:v>0.12050556359206821</c:v>
                </c:pt>
                <c:pt idx="28" formatCode="0.0%">
                  <c:v>0.12050556359206821</c:v>
                </c:pt>
                <c:pt idx="29" formatCode="0.0%">
                  <c:v>0.12050556359206821</c:v>
                </c:pt>
                <c:pt idx="30" formatCode="0.0%">
                  <c:v>0.12050556359206821</c:v>
                </c:pt>
                <c:pt idx="31" formatCode="0.0%">
                  <c:v>0.12050556359206821</c:v>
                </c:pt>
                <c:pt idx="32" formatCode="0.0%">
                  <c:v>0.12050556359206821</c:v>
                </c:pt>
                <c:pt idx="33" formatCode="0.0%">
                  <c:v>0.12050556359206821</c:v>
                </c:pt>
                <c:pt idx="34" formatCode="0.0%">
                  <c:v>0.12050556359206821</c:v>
                </c:pt>
                <c:pt idx="35" formatCode="0.0%">
                  <c:v>0.12050556359206821</c:v>
                </c:pt>
                <c:pt idx="36" formatCode="0.0%">
                  <c:v>0.12050556359206821</c:v>
                </c:pt>
                <c:pt idx="37" formatCode="0.0%">
                  <c:v>0.12050556359206821</c:v>
                </c:pt>
                <c:pt idx="38" formatCode="0.0%">
                  <c:v>0.12050556359206821</c:v>
                </c:pt>
                <c:pt idx="39" formatCode="0.0%">
                  <c:v>0.12050556359206821</c:v>
                </c:pt>
                <c:pt idx="40" formatCode="0.0%">
                  <c:v>0.12050556359206821</c:v>
                </c:pt>
                <c:pt idx="41" formatCode="0.0%">
                  <c:v>0.12050556359206821</c:v>
                </c:pt>
                <c:pt idx="42" formatCode="0.0%">
                  <c:v>0.12050556359206821</c:v>
                </c:pt>
              </c:numCache>
            </c:numRef>
          </c:val>
          <c:extLst>
            <c:ext xmlns:c16="http://schemas.microsoft.com/office/drawing/2014/chart" uri="{C3380CC4-5D6E-409C-BE32-E72D297353CC}">
              <c16:uniqueId val="{00000000-2D79-48F4-A1A9-62EDAD17AF8D}"/>
            </c:ext>
          </c:extLst>
        </c:ser>
        <c:dLbls>
          <c:showLegendKey val="0"/>
          <c:showVal val="0"/>
          <c:showCatName val="0"/>
          <c:showSerName val="0"/>
          <c:showPercent val="0"/>
          <c:showBubbleSize val="0"/>
        </c:dLbls>
        <c:gapWidth val="219"/>
        <c:overlap val="-27"/>
        <c:axId val="1007836512"/>
        <c:axId val="1409797776"/>
      </c:barChart>
      <c:catAx>
        <c:axId val="100783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Ano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409797776"/>
        <c:crosses val="autoZero"/>
        <c:auto val="1"/>
        <c:lblAlgn val="ctr"/>
        <c:lblOffset val="100"/>
        <c:noMultiLvlLbl val="0"/>
      </c:catAx>
      <c:valAx>
        <c:axId val="14097977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Custo de Capital dos Acionistas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007836512"/>
        <c:crosses val="autoZero"/>
        <c:crossBetween val="between"/>
      </c:valAx>
      <c:spPr>
        <a:noFill/>
        <a:ln>
          <a:solidFill>
            <a:schemeClr val="bg1">
              <a:lumMod val="85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8566576236794"/>
          <c:y val="5.0925925925925923E-2"/>
          <c:w val="0.83889495430718242"/>
          <c:h val="0.67000729075532217"/>
        </c:manualLayout>
      </c:layout>
      <c:barChart>
        <c:barDir val="col"/>
        <c:grouping val="clustered"/>
        <c:varyColors val="0"/>
        <c:ser>
          <c:idx val="0"/>
          <c:order val="0"/>
          <c:tx>
            <c:strRef>
              <c:f>'Gráficos - Monografia'!$A$111</c:f>
              <c:strCache>
                <c:ptCount val="1"/>
                <c:pt idx="0">
                  <c:v>CAPEX - 1P</c:v>
                </c:pt>
              </c:strCache>
            </c:strRef>
          </c:tx>
          <c:spPr>
            <a:solidFill>
              <a:schemeClr val="accent6">
                <a:lumMod val="50000"/>
              </a:schemeClr>
            </a:solidFill>
            <a:ln>
              <a:noFill/>
            </a:ln>
            <a:effectLst/>
          </c:spPr>
          <c:invertIfNegative val="0"/>
          <c:cat>
            <c:numRef>
              <c:extLst>
                <c:ext xmlns:c15="http://schemas.microsoft.com/office/drawing/2012/chart" uri="{02D57815-91ED-43cb-92C2-25804820EDAC}">
                  <c15:fullRef>
                    <c15:sqref>'Gráficos - Monografia'!$B$110:$AS$110</c15:sqref>
                  </c15:fullRef>
                </c:ext>
              </c:extLst>
              <c:f>'Gráficos - Monografia'!$B$110:$AQ$110</c:f>
              <c:numCache>
                <c:formatCode>General</c:formatCode>
                <c:ptCount val="4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numCache>
            </c:numRef>
          </c:cat>
          <c:val>
            <c:numRef>
              <c:extLst>
                <c:ext xmlns:c15="http://schemas.microsoft.com/office/drawing/2012/chart" uri="{02D57815-91ED-43cb-92C2-25804820EDAC}">
                  <c15:fullRef>
                    <c15:sqref>'Gráficos - Monografia'!$B$111:$AS$111</c15:sqref>
                  </c15:fullRef>
                </c:ext>
              </c:extLst>
              <c:f>'Gráficos - Monografia'!$B$111:$AQ$111</c:f>
              <c:numCache>
                <c:formatCode>#,##0</c:formatCode>
                <c:ptCount val="42"/>
                <c:pt idx="0">
                  <c:v>-2019.9030495151999</c:v>
                </c:pt>
                <c:pt idx="1">
                  <c:v>-1823.1108885152003</c:v>
                </c:pt>
                <c:pt idx="2">
                  <c:v>-1472.7224632351999</c:v>
                </c:pt>
                <c:pt idx="3">
                  <c:v>-1629.5186606791999</c:v>
                </c:pt>
                <c:pt idx="4">
                  <c:v>-1320.2367267642082</c:v>
                </c:pt>
                <c:pt idx="5">
                  <c:v>-1373.9583728337916</c:v>
                </c:pt>
                <c:pt idx="6">
                  <c:v>-245.06946577319829</c:v>
                </c:pt>
                <c:pt idx="7">
                  <c:v>-252.11032479641904</c:v>
                </c:pt>
                <c:pt idx="8">
                  <c:v>-163.06907314931595</c:v>
                </c:pt>
                <c:pt idx="9">
                  <c:v>-167.64955302708401</c:v>
                </c:pt>
                <c:pt idx="10">
                  <c:v>-172.38043861353356</c:v>
                </c:pt>
                <c:pt idx="11">
                  <c:v>-177.23986971585776</c:v>
                </c:pt>
                <c:pt idx="12">
                  <c:v>-182.25886623452212</c:v>
                </c:pt>
                <c:pt idx="13">
                  <c:v>-187.41423669097779</c:v>
                </c:pt>
                <c:pt idx="14">
                  <c:v>-192.73889009762883</c:v>
                </c:pt>
                <c:pt idx="15">
                  <c:v>-198.20822261488263</c:v>
                </c:pt>
                <c:pt idx="16">
                  <c:v>-203.85714741399869</c:v>
                </c:pt>
                <c:pt idx="17">
                  <c:v>-209.65956228155329</c:v>
                </c:pt>
                <c:pt idx="18">
                  <c:v>-215.65250660093554</c:v>
                </c:pt>
                <c:pt idx="19">
                  <c:v>-221.80828853392418</c:v>
                </c:pt>
                <c:pt idx="20">
                  <c:v>-68.710901486120648</c:v>
                </c:pt>
                <c:pt idx="21">
                  <c:v>-70.457911488541257</c:v>
                </c:pt>
                <c:pt idx="22">
                  <c:v>-72.275854296049715</c:v>
                </c:pt>
                <c:pt idx="23">
                  <c:v>-74.129257207617712</c:v>
                </c:pt>
                <c:pt idx="24">
                  <c:v>-76.057912732103475</c:v>
                </c:pt>
                <c:pt idx="25">
                  <c:v>-78.024187880985963</c:v>
                </c:pt>
                <c:pt idx="26">
                  <c:v>-10.173088515200186</c:v>
                </c:pt>
                <c:pt idx="27">
                  <c:v>-10.173088515200186</c:v>
                </c:pt>
                <c:pt idx="28">
                  <c:v>-10.173088515200186</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0-CF1E-4F16-B236-4284EC1D425F}"/>
            </c:ext>
          </c:extLst>
        </c:ser>
        <c:ser>
          <c:idx val="1"/>
          <c:order val="1"/>
          <c:tx>
            <c:strRef>
              <c:f>'Gráficos - Monografia'!$A$112</c:f>
              <c:strCache>
                <c:ptCount val="1"/>
                <c:pt idx="0">
                  <c:v>CAPEX - 2P</c:v>
                </c:pt>
              </c:strCache>
            </c:strRef>
          </c:tx>
          <c:spPr>
            <a:solidFill>
              <a:schemeClr val="accent4">
                <a:lumMod val="50000"/>
              </a:schemeClr>
            </a:solidFill>
            <a:ln>
              <a:noFill/>
            </a:ln>
            <a:effectLst/>
          </c:spPr>
          <c:invertIfNegative val="0"/>
          <c:cat>
            <c:numRef>
              <c:extLst>
                <c:ext xmlns:c15="http://schemas.microsoft.com/office/drawing/2012/chart" uri="{02D57815-91ED-43cb-92C2-25804820EDAC}">
                  <c15:fullRef>
                    <c15:sqref>'Gráficos - Monografia'!$B$110:$AS$110</c15:sqref>
                  </c15:fullRef>
                </c:ext>
              </c:extLst>
              <c:f>'Gráficos - Monografia'!$B$110:$AQ$110</c:f>
              <c:numCache>
                <c:formatCode>General</c:formatCode>
                <c:ptCount val="4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numCache>
            </c:numRef>
          </c:cat>
          <c:val>
            <c:numRef>
              <c:extLst>
                <c:ext xmlns:c15="http://schemas.microsoft.com/office/drawing/2012/chart" uri="{02D57815-91ED-43cb-92C2-25804820EDAC}">
                  <c15:fullRef>
                    <c15:sqref>'Gráficos - Monografia'!$B$112:$AS$112</c15:sqref>
                  </c15:fullRef>
                </c:ext>
              </c:extLst>
              <c:f>'Gráficos - Monografia'!$B$112:$AQ$112</c:f>
              <c:numCache>
                <c:formatCode>#,##0</c:formatCode>
                <c:ptCount val="42"/>
                <c:pt idx="0">
                  <c:v>-2019.9030495151999</c:v>
                </c:pt>
                <c:pt idx="1">
                  <c:v>-2014.3608885152003</c:v>
                </c:pt>
                <c:pt idx="2">
                  <c:v>-1632.6527512352004</c:v>
                </c:pt>
                <c:pt idx="3">
                  <c:v>-1629.5186606791999</c:v>
                </c:pt>
                <c:pt idx="4">
                  <c:v>-1320.2367267642082</c:v>
                </c:pt>
                <c:pt idx="5">
                  <c:v>-1373.9583728337916</c:v>
                </c:pt>
                <c:pt idx="6">
                  <c:v>-245.06946577319829</c:v>
                </c:pt>
                <c:pt idx="7">
                  <c:v>-252.11032479641904</c:v>
                </c:pt>
                <c:pt idx="8">
                  <c:v>-259.37465514821037</c:v>
                </c:pt>
                <c:pt idx="9">
                  <c:v>-266.84430248594526</c:v>
                </c:pt>
                <c:pt idx="10">
                  <c:v>-274.55103055616064</c:v>
                </c:pt>
                <c:pt idx="11">
                  <c:v>-282.47557941676365</c:v>
                </c:pt>
                <c:pt idx="12">
                  <c:v>-290.65164722645522</c:v>
                </c:pt>
                <c:pt idx="13">
                  <c:v>-187.41423669097779</c:v>
                </c:pt>
                <c:pt idx="14">
                  <c:v>-192.73889009762883</c:v>
                </c:pt>
                <c:pt idx="15">
                  <c:v>-198.20822261488263</c:v>
                </c:pt>
                <c:pt idx="16">
                  <c:v>-203.85714741399869</c:v>
                </c:pt>
                <c:pt idx="17">
                  <c:v>-209.65956228155329</c:v>
                </c:pt>
                <c:pt idx="18">
                  <c:v>-215.65250660093554</c:v>
                </c:pt>
                <c:pt idx="19">
                  <c:v>-221.80828853392418</c:v>
                </c:pt>
                <c:pt idx="20">
                  <c:v>-228.16620316235682</c:v>
                </c:pt>
                <c:pt idx="21">
                  <c:v>-234.69687221506459</c:v>
                </c:pt>
                <c:pt idx="22">
                  <c:v>-241.44198384436865</c:v>
                </c:pt>
                <c:pt idx="23">
                  <c:v>-248.37037064238629</c:v>
                </c:pt>
                <c:pt idx="24">
                  <c:v>-255.52625956991508</c:v>
                </c:pt>
                <c:pt idx="25">
                  <c:v>-262.87658512393187</c:v>
                </c:pt>
                <c:pt idx="26">
                  <c:v>-10.173088515200186</c:v>
                </c:pt>
                <c:pt idx="27">
                  <c:v>-10.173088515200186</c:v>
                </c:pt>
                <c:pt idx="28">
                  <c:v>-10.173088515200186</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1-CF1E-4F16-B236-4284EC1D425F}"/>
            </c:ext>
          </c:extLst>
        </c:ser>
        <c:ser>
          <c:idx val="2"/>
          <c:order val="2"/>
          <c:tx>
            <c:strRef>
              <c:f>'Gráficos - Monografia'!$A$113</c:f>
              <c:strCache>
                <c:ptCount val="1"/>
                <c:pt idx="0">
                  <c:v>CAPEX - 3P</c:v>
                </c:pt>
              </c:strCache>
            </c:strRef>
          </c:tx>
          <c:spPr>
            <a:solidFill>
              <a:schemeClr val="accent3"/>
            </a:solidFill>
            <a:ln>
              <a:noFill/>
            </a:ln>
            <a:effectLst/>
          </c:spPr>
          <c:invertIfNegative val="0"/>
          <c:cat>
            <c:numRef>
              <c:extLst>
                <c:ext xmlns:c15="http://schemas.microsoft.com/office/drawing/2012/chart" uri="{02D57815-91ED-43cb-92C2-25804820EDAC}">
                  <c15:fullRef>
                    <c15:sqref>'Gráficos - Monografia'!$B$110:$AS$110</c15:sqref>
                  </c15:fullRef>
                </c:ext>
              </c:extLst>
              <c:f>'Gráficos - Monografia'!$B$110:$AQ$110</c:f>
              <c:numCache>
                <c:formatCode>General</c:formatCode>
                <c:ptCount val="4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numCache>
            </c:numRef>
          </c:cat>
          <c:val>
            <c:numRef>
              <c:extLst>
                <c:ext xmlns:c15="http://schemas.microsoft.com/office/drawing/2012/chart" uri="{02D57815-91ED-43cb-92C2-25804820EDAC}">
                  <c15:fullRef>
                    <c15:sqref>'Gráficos - Monografia'!$B$113:$AS$113</c15:sqref>
                  </c15:fullRef>
                </c:ext>
              </c:extLst>
              <c:f>'Gráficos - Monografia'!$B$113:$AQ$113</c:f>
              <c:numCache>
                <c:formatCode>#,##0</c:formatCode>
                <c:ptCount val="42"/>
                <c:pt idx="0">
                  <c:v>-2019.9030495151999</c:v>
                </c:pt>
                <c:pt idx="1">
                  <c:v>-2014.3608885152003</c:v>
                </c:pt>
                <c:pt idx="2">
                  <c:v>-1632.6527512352004</c:v>
                </c:pt>
                <c:pt idx="3">
                  <c:v>-1629.5186606791999</c:v>
                </c:pt>
                <c:pt idx="4">
                  <c:v>-1320.2367267642082</c:v>
                </c:pt>
                <c:pt idx="5">
                  <c:v>-1373.9583728337916</c:v>
                </c:pt>
                <c:pt idx="6">
                  <c:v>-245.06946577319829</c:v>
                </c:pt>
                <c:pt idx="7">
                  <c:v>-252.11032479641904</c:v>
                </c:pt>
                <c:pt idx="8">
                  <c:v>-259.37465514821037</c:v>
                </c:pt>
                <c:pt idx="9">
                  <c:v>-266.84430248594526</c:v>
                </c:pt>
                <c:pt idx="10">
                  <c:v>-274.55103055616064</c:v>
                </c:pt>
                <c:pt idx="11">
                  <c:v>-282.47557941676365</c:v>
                </c:pt>
                <c:pt idx="12">
                  <c:v>-290.65164722645522</c:v>
                </c:pt>
                <c:pt idx="13">
                  <c:v>-299.0588011126689</c:v>
                </c:pt>
                <c:pt idx="14">
                  <c:v>-307.73279145197057</c:v>
                </c:pt>
                <c:pt idx="15">
                  <c:v>-316.65194100985474</c:v>
                </c:pt>
                <c:pt idx="16">
                  <c:v>-325.85417736081996</c:v>
                </c:pt>
                <c:pt idx="17">
                  <c:v>-335.31650312677914</c:v>
                </c:pt>
                <c:pt idx="18">
                  <c:v>-345.07915567151815</c:v>
                </c:pt>
                <c:pt idx="19">
                  <c:v>-355.11773707662428</c:v>
                </c:pt>
                <c:pt idx="20">
                  <c:v>-365.47493516133795</c:v>
                </c:pt>
                <c:pt idx="21">
                  <c:v>-376.1248661740151</c:v>
                </c:pt>
                <c:pt idx="22">
                  <c:v>-241.44198384436865</c:v>
                </c:pt>
                <c:pt idx="23">
                  <c:v>-248.37037064238629</c:v>
                </c:pt>
                <c:pt idx="24">
                  <c:v>-255.52625956991508</c:v>
                </c:pt>
                <c:pt idx="25">
                  <c:v>-262.87658512393187</c:v>
                </c:pt>
                <c:pt idx="26">
                  <c:v>-80.070298526912865</c:v>
                </c:pt>
                <c:pt idx="27">
                  <c:v>-82.156319832362314</c:v>
                </c:pt>
                <c:pt idx="28">
                  <c:v>-10.173088515200186</c:v>
                </c:pt>
                <c:pt idx="29">
                  <c:v>-10.173088515200186</c:v>
                </c:pt>
                <c:pt idx="30">
                  <c:v>-10.173088515200186</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2-CF1E-4F16-B236-4284EC1D425F}"/>
            </c:ext>
          </c:extLst>
        </c:ser>
        <c:dLbls>
          <c:showLegendKey val="0"/>
          <c:showVal val="0"/>
          <c:showCatName val="0"/>
          <c:showSerName val="0"/>
          <c:showPercent val="0"/>
          <c:showBubbleSize val="0"/>
        </c:dLbls>
        <c:gapWidth val="219"/>
        <c:overlap val="-27"/>
        <c:axId val="1265846944"/>
        <c:axId val="539667680"/>
      </c:barChart>
      <c:catAx>
        <c:axId val="126584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539667680"/>
        <c:crosses val="autoZero"/>
        <c:auto val="1"/>
        <c:lblAlgn val="ctr"/>
        <c:lblOffset val="100"/>
        <c:noMultiLvlLbl val="0"/>
      </c:catAx>
      <c:valAx>
        <c:axId val="539667680"/>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Capex em Milhões de Reais (Mi 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265846944"/>
        <c:crosses val="autoZero"/>
        <c:crossBetween val="between"/>
      </c:valAx>
      <c:spPr>
        <a:noFill/>
        <a:ln>
          <a:solidFill>
            <a:schemeClr val="bg1">
              <a:lumMod val="85000"/>
            </a:schemeClr>
          </a:solidFill>
        </a:ln>
        <a:effectLst/>
      </c:spPr>
    </c:plotArea>
    <c:legend>
      <c:legendPos val="b"/>
      <c:layout>
        <c:manualLayout>
          <c:xMode val="edge"/>
          <c:yMode val="edge"/>
          <c:x val="0.29140052346397877"/>
          <c:y val="0.90335593467483233"/>
          <c:w val="0.41719895307204247"/>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09406912371247"/>
          <c:y val="5.0925925925925923E-2"/>
          <c:w val="0.85648783854334287"/>
          <c:h val="0.64222951297754438"/>
        </c:manualLayout>
      </c:layout>
      <c:barChart>
        <c:barDir val="col"/>
        <c:grouping val="clustered"/>
        <c:varyColors val="0"/>
        <c:ser>
          <c:idx val="0"/>
          <c:order val="0"/>
          <c:tx>
            <c:strRef>
              <c:f>'Gráficos - Monografia'!$A$123</c:f>
              <c:strCache>
                <c:ptCount val="1"/>
                <c:pt idx="0">
                  <c:v>Royalties e Participações Especiais - 1P</c:v>
                </c:pt>
              </c:strCache>
            </c:strRef>
          </c:tx>
          <c:spPr>
            <a:solidFill>
              <a:srgbClr val="C00000"/>
            </a:solidFill>
            <a:ln>
              <a:noFill/>
            </a:ln>
            <a:effectLst/>
          </c:spPr>
          <c:invertIfNegative val="0"/>
          <c:cat>
            <c:numRef>
              <c:f>'Gráficos - Monografia'!$B$122:$AJ$122</c:f>
              <c:numCache>
                <c:formatCode>General</c:formatCode>
                <c:ptCount val="35"/>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numCache>
            </c:numRef>
          </c:cat>
          <c:val>
            <c:numRef>
              <c:f>'Gráficos - Monografia'!$B$123:$AJ$123</c:f>
              <c:numCache>
                <c:formatCode>0.0%</c:formatCode>
                <c:ptCount val="35"/>
                <c:pt idx="0">
                  <c:v>-0.10254762989222277</c:v>
                </c:pt>
                <c:pt idx="1">
                  <c:v>-9.5198759105202244E-2</c:v>
                </c:pt>
                <c:pt idx="2">
                  <c:v>-9.2800422275836819E-2</c:v>
                </c:pt>
                <c:pt idx="3">
                  <c:v>-9.7145811249954223E-2</c:v>
                </c:pt>
                <c:pt idx="4">
                  <c:v>-9.544109916098506E-2</c:v>
                </c:pt>
                <c:pt idx="5">
                  <c:v>-9.6514350886209244E-2</c:v>
                </c:pt>
                <c:pt idx="6">
                  <c:v>-9.3968739993403438E-2</c:v>
                </c:pt>
                <c:pt idx="7">
                  <c:v>-8.7396034755599289E-2</c:v>
                </c:pt>
                <c:pt idx="8">
                  <c:v>-8.1978216241779076E-2</c:v>
                </c:pt>
                <c:pt idx="9">
                  <c:v>-9.6772923705275682E-2</c:v>
                </c:pt>
                <c:pt idx="10">
                  <c:v>-9.2678823530109741E-2</c:v>
                </c:pt>
                <c:pt idx="11">
                  <c:v>-8.9275656752008326E-2</c:v>
                </c:pt>
                <c:pt idx="12">
                  <c:v>-8.5753724612043197E-2</c:v>
                </c:pt>
                <c:pt idx="13">
                  <c:v>-8.5846493523469541E-2</c:v>
                </c:pt>
                <c:pt idx="14">
                  <c:v>-8.5821916438619056E-2</c:v>
                </c:pt>
                <c:pt idx="15">
                  <c:v>-8.5787961752289643E-2</c:v>
                </c:pt>
                <c:pt idx="16">
                  <c:v>-8.6470793721278152E-2</c:v>
                </c:pt>
                <c:pt idx="17">
                  <c:v>-8.6458695328341093E-2</c:v>
                </c:pt>
                <c:pt idx="18">
                  <c:v>-8.6443163841620513E-2</c:v>
                </c:pt>
                <c:pt idx="19">
                  <c:v>-8.6436800361186894E-2</c:v>
                </c:pt>
                <c:pt idx="20">
                  <c:v>-8.6433944977818034E-2</c:v>
                </c:pt>
                <c:pt idx="21">
                  <c:v>-8.6443333139628778E-2</c:v>
                </c:pt>
                <c:pt idx="22">
                  <c:v>-8.6440885369292814E-2</c:v>
                </c:pt>
                <c:pt idx="23">
                  <c:v>-8.6447601048588688E-2</c:v>
                </c:pt>
                <c:pt idx="24">
                  <c:v>-8.6401077208235325E-2</c:v>
                </c:pt>
                <c:pt idx="25">
                  <c:v>-8.6415515317943878E-2</c:v>
                </c:pt>
                <c:pt idx="26">
                  <c:v>-8.634536044595148E-2</c:v>
                </c:pt>
                <c:pt idx="27">
                  <c:v>-8.6352798167282252E-2</c:v>
                </c:pt>
                <c:pt idx="28">
                  <c:v>-8.6424152578612773E-2</c:v>
                </c:pt>
                <c:pt idx="29">
                  <c:v>0</c:v>
                </c:pt>
                <c:pt idx="30">
                  <c:v>0</c:v>
                </c:pt>
                <c:pt idx="31">
                  <c:v>0</c:v>
                </c:pt>
                <c:pt idx="32">
                  <c:v>0</c:v>
                </c:pt>
                <c:pt idx="33">
                  <c:v>0</c:v>
                </c:pt>
                <c:pt idx="34">
                  <c:v>0</c:v>
                </c:pt>
              </c:numCache>
            </c:numRef>
          </c:val>
          <c:extLst>
            <c:ext xmlns:c16="http://schemas.microsoft.com/office/drawing/2014/chart" uri="{C3380CC4-5D6E-409C-BE32-E72D297353CC}">
              <c16:uniqueId val="{00000000-EF83-455D-BD17-D1C38CF8512E}"/>
            </c:ext>
          </c:extLst>
        </c:ser>
        <c:ser>
          <c:idx val="1"/>
          <c:order val="1"/>
          <c:tx>
            <c:strRef>
              <c:f>'Gráficos - Monografia'!$A$124</c:f>
              <c:strCache>
                <c:ptCount val="1"/>
                <c:pt idx="0">
                  <c:v>Royalties e Participações Especiais - 2P</c:v>
                </c:pt>
              </c:strCache>
            </c:strRef>
          </c:tx>
          <c:spPr>
            <a:solidFill>
              <a:srgbClr val="FFC000"/>
            </a:solidFill>
            <a:ln>
              <a:noFill/>
            </a:ln>
            <a:effectLst/>
          </c:spPr>
          <c:invertIfNegative val="0"/>
          <c:cat>
            <c:numRef>
              <c:f>'Gráficos - Monografia'!$B$122:$AJ$122</c:f>
              <c:numCache>
                <c:formatCode>General</c:formatCode>
                <c:ptCount val="35"/>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numCache>
            </c:numRef>
          </c:cat>
          <c:val>
            <c:numRef>
              <c:f>'Gráficos - Monografia'!$B$124:$AJ$124</c:f>
              <c:numCache>
                <c:formatCode>0.0%</c:formatCode>
                <c:ptCount val="35"/>
                <c:pt idx="0">
                  <c:v>-0.1048455144644876</c:v>
                </c:pt>
                <c:pt idx="1">
                  <c:v>-9.6299652398529265E-2</c:v>
                </c:pt>
                <c:pt idx="2">
                  <c:v>-0.1005583723519704</c:v>
                </c:pt>
                <c:pt idx="3">
                  <c:v>-0.10847493160591691</c:v>
                </c:pt>
                <c:pt idx="4">
                  <c:v>-0.11129995854709392</c:v>
                </c:pt>
                <c:pt idx="5">
                  <c:v>-0.11643293981757732</c:v>
                </c:pt>
                <c:pt idx="6">
                  <c:v>-0.11105386530572317</c:v>
                </c:pt>
                <c:pt idx="7">
                  <c:v>-9.8691074842137516E-2</c:v>
                </c:pt>
                <c:pt idx="8">
                  <c:v>-9.1801269212573006E-2</c:v>
                </c:pt>
                <c:pt idx="9">
                  <c:v>-0.10213616313062882</c:v>
                </c:pt>
                <c:pt idx="10">
                  <c:v>-9.7527399615283908E-2</c:v>
                </c:pt>
                <c:pt idx="11">
                  <c:v>-9.544843736507555E-2</c:v>
                </c:pt>
                <c:pt idx="12">
                  <c:v>-9.2060515241005308E-2</c:v>
                </c:pt>
                <c:pt idx="13">
                  <c:v>-8.8254751539578014E-2</c:v>
                </c:pt>
                <c:pt idx="14">
                  <c:v>-8.5642200906578619E-2</c:v>
                </c:pt>
                <c:pt idx="15">
                  <c:v>-8.6126478523207803E-2</c:v>
                </c:pt>
                <c:pt idx="16">
                  <c:v>-8.6328376138738699E-2</c:v>
                </c:pt>
                <c:pt idx="17">
                  <c:v>-8.6325262476328851E-2</c:v>
                </c:pt>
                <c:pt idx="18">
                  <c:v>-8.6331495528463559E-2</c:v>
                </c:pt>
                <c:pt idx="19">
                  <c:v>-8.6335553029435269E-2</c:v>
                </c:pt>
                <c:pt idx="20">
                  <c:v>-8.6347199803266272E-2</c:v>
                </c:pt>
                <c:pt idx="21">
                  <c:v>-8.6359618052122555E-2</c:v>
                </c:pt>
                <c:pt idx="22">
                  <c:v>-8.6370866040618027E-2</c:v>
                </c:pt>
                <c:pt idx="23">
                  <c:v>-8.6375456137106524E-2</c:v>
                </c:pt>
                <c:pt idx="24">
                  <c:v>-8.6399952723578685E-2</c:v>
                </c:pt>
                <c:pt idx="25">
                  <c:v>-8.6411369064822108E-2</c:v>
                </c:pt>
                <c:pt idx="26">
                  <c:v>-8.6416242864443313E-2</c:v>
                </c:pt>
                <c:pt idx="27">
                  <c:v>-8.6411281369354789E-2</c:v>
                </c:pt>
                <c:pt idx="28">
                  <c:v>-8.6506084238310313E-2</c:v>
                </c:pt>
                <c:pt idx="29">
                  <c:v>0</c:v>
                </c:pt>
                <c:pt idx="30">
                  <c:v>0</c:v>
                </c:pt>
                <c:pt idx="31">
                  <c:v>0</c:v>
                </c:pt>
                <c:pt idx="32">
                  <c:v>0</c:v>
                </c:pt>
                <c:pt idx="33">
                  <c:v>0</c:v>
                </c:pt>
                <c:pt idx="34">
                  <c:v>0</c:v>
                </c:pt>
              </c:numCache>
            </c:numRef>
          </c:val>
          <c:extLst>
            <c:ext xmlns:c16="http://schemas.microsoft.com/office/drawing/2014/chart" uri="{C3380CC4-5D6E-409C-BE32-E72D297353CC}">
              <c16:uniqueId val="{00000001-EF83-455D-BD17-D1C38CF8512E}"/>
            </c:ext>
          </c:extLst>
        </c:ser>
        <c:ser>
          <c:idx val="2"/>
          <c:order val="2"/>
          <c:tx>
            <c:strRef>
              <c:f>'Gráficos - Monografia'!$A$125</c:f>
              <c:strCache>
                <c:ptCount val="1"/>
                <c:pt idx="0">
                  <c:v>Royalties e Participações Especiais - 3P</c:v>
                </c:pt>
              </c:strCache>
            </c:strRef>
          </c:tx>
          <c:spPr>
            <a:solidFill>
              <a:schemeClr val="accent6">
                <a:lumMod val="50000"/>
              </a:schemeClr>
            </a:solidFill>
            <a:ln>
              <a:noFill/>
            </a:ln>
            <a:effectLst/>
          </c:spPr>
          <c:invertIfNegative val="0"/>
          <c:cat>
            <c:numRef>
              <c:f>'Gráficos - Monografia'!$B$122:$AJ$122</c:f>
              <c:numCache>
                <c:formatCode>General</c:formatCode>
                <c:ptCount val="35"/>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numCache>
            </c:numRef>
          </c:cat>
          <c:val>
            <c:numRef>
              <c:f>'Gráficos - Monografia'!$B$125:$AJ$125</c:f>
              <c:numCache>
                <c:formatCode>0.0%</c:formatCode>
                <c:ptCount val="35"/>
                <c:pt idx="0">
                  <c:v>-0.10732304512791434</c:v>
                </c:pt>
                <c:pt idx="1">
                  <c:v>-9.7338226403491296E-2</c:v>
                </c:pt>
                <c:pt idx="2">
                  <c:v>-0.10624176579231154</c:v>
                </c:pt>
                <c:pt idx="3">
                  <c:v>-0.1196975311795562</c:v>
                </c:pt>
                <c:pt idx="4">
                  <c:v>-0.12223840120325706</c:v>
                </c:pt>
                <c:pt idx="5">
                  <c:v>-0.12852002013705549</c:v>
                </c:pt>
                <c:pt idx="6">
                  <c:v>-0.12369326617565145</c:v>
                </c:pt>
                <c:pt idx="7">
                  <c:v>-0.11037556490153574</c:v>
                </c:pt>
                <c:pt idx="8">
                  <c:v>-9.9363861328438538E-2</c:v>
                </c:pt>
                <c:pt idx="9">
                  <c:v>-0.10913042943247309</c:v>
                </c:pt>
                <c:pt idx="10">
                  <c:v>-0.10112098359253292</c:v>
                </c:pt>
                <c:pt idx="11">
                  <c:v>-9.935705343519971E-2</c:v>
                </c:pt>
                <c:pt idx="12">
                  <c:v>-9.6182420347104391E-2</c:v>
                </c:pt>
                <c:pt idx="13">
                  <c:v>-9.3053543923378543E-2</c:v>
                </c:pt>
                <c:pt idx="14">
                  <c:v>-8.987134035024269E-2</c:v>
                </c:pt>
                <c:pt idx="15">
                  <c:v>-8.6897329242011198E-2</c:v>
                </c:pt>
                <c:pt idx="16">
                  <c:v>-8.5557330682395127E-2</c:v>
                </c:pt>
                <c:pt idx="17">
                  <c:v>-8.5604241486183619E-2</c:v>
                </c:pt>
                <c:pt idx="18">
                  <c:v>-8.5658760713054172E-2</c:v>
                </c:pt>
                <c:pt idx="19">
                  <c:v>-8.5670244915118141E-2</c:v>
                </c:pt>
                <c:pt idx="20">
                  <c:v>-8.6125465214792002E-2</c:v>
                </c:pt>
                <c:pt idx="21">
                  <c:v>-8.6161854378207808E-2</c:v>
                </c:pt>
                <c:pt idx="22">
                  <c:v>-8.617173804252834E-2</c:v>
                </c:pt>
                <c:pt idx="23">
                  <c:v>-8.6170520452036312E-2</c:v>
                </c:pt>
                <c:pt idx="24">
                  <c:v>-8.6176132442930875E-2</c:v>
                </c:pt>
                <c:pt idx="25">
                  <c:v>-8.6432180672196615E-2</c:v>
                </c:pt>
                <c:pt idx="26">
                  <c:v>-8.6432883394493704E-2</c:v>
                </c:pt>
                <c:pt idx="27">
                  <c:v>-8.643230653986686E-2</c:v>
                </c:pt>
                <c:pt idx="28">
                  <c:v>-8.6504605243978488E-2</c:v>
                </c:pt>
                <c:pt idx="29">
                  <c:v>-8.7053082216799874E-2</c:v>
                </c:pt>
                <c:pt idx="30">
                  <c:v>-8.7037991286831873E-2</c:v>
                </c:pt>
                <c:pt idx="31">
                  <c:v>0</c:v>
                </c:pt>
                <c:pt idx="32">
                  <c:v>0</c:v>
                </c:pt>
                <c:pt idx="33">
                  <c:v>0</c:v>
                </c:pt>
                <c:pt idx="34">
                  <c:v>0</c:v>
                </c:pt>
              </c:numCache>
            </c:numRef>
          </c:val>
          <c:extLst>
            <c:ext xmlns:c16="http://schemas.microsoft.com/office/drawing/2014/chart" uri="{C3380CC4-5D6E-409C-BE32-E72D297353CC}">
              <c16:uniqueId val="{00000004-EF83-455D-BD17-D1C38CF8512E}"/>
            </c:ext>
          </c:extLst>
        </c:ser>
        <c:dLbls>
          <c:showLegendKey val="0"/>
          <c:showVal val="0"/>
          <c:showCatName val="0"/>
          <c:showSerName val="0"/>
          <c:showPercent val="0"/>
          <c:showBubbleSize val="0"/>
        </c:dLbls>
        <c:gapWidth val="219"/>
        <c:overlap val="-27"/>
        <c:axId val="1265846944"/>
        <c:axId val="539667680"/>
      </c:barChart>
      <c:catAx>
        <c:axId val="126584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539667680"/>
        <c:crosses val="autoZero"/>
        <c:auto val="1"/>
        <c:lblAlgn val="ctr"/>
        <c:lblOffset val="100"/>
        <c:noMultiLvlLbl val="0"/>
      </c:catAx>
      <c:valAx>
        <c:axId val="539667680"/>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Royaltie</a:t>
                </a:r>
                <a:r>
                  <a:rPr lang="pt-BR" baseline="0"/>
                  <a:t> e Particpações Especiais em percentual da Receita</a:t>
                </a:r>
                <a:endParaRPr lang="pt-BR"/>
              </a:p>
            </c:rich>
          </c:tx>
          <c:layout>
            <c:manualLayout>
              <c:xMode val="edge"/>
              <c:yMode val="edge"/>
              <c:x val="0"/>
              <c:y val="3.203711443244843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265846944"/>
        <c:crosses val="autoZero"/>
        <c:crossBetween val="between"/>
      </c:valAx>
      <c:spPr>
        <a:noFill/>
        <a:ln>
          <a:noFill/>
        </a:ln>
        <a:effectLst/>
      </c:spPr>
    </c:plotArea>
    <c:legend>
      <c:legendPos val="b"/>
      <c:layout>
        <c:manualLayout>
          <c:xMode val="edge"/>
          <c:yMode val="edge"/>
          <c:x val="8.9542116059021879E-3"/>
          <c:y val="0.88020778652668419"/>
          <c:w val="0.9307377019049089"/>
          <c:h val="0.10127369495479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299623956733724E-2"/>
          <c:y val="4.6464644247292887E-2"/>
          <c:w val="0.86580506732208673"/>
          <c:h val="0.6970816178915954"/>
        </c:manualLayout>
      </c:layout>
      <c:lineChart>
        <c:grouping val="standard"/>
        <c:varyColors val="0"/>
        <c:ser>
          <c:idx val="0"/>
          <c:order val="0"/>
          <c:tx>
            <c:strRef>
              <c:f>'Gráficos - Monografia'!$A$170</c:f>
              <c:strCache>
                <c:ptCount val="1"/>
                <c:pt idx="0">
                  <c:v>Receita Líquida</c:v>
                </c:pt>
              </c:strCache>
            </c:strRef>
          </c:tx>
          <c:spPr>
            <a:ln w="12700" cap="rnd">
              <a:solidFill>
                <a:schemeClr val="tx1"/>
              </a:solidFill>
              <a:round/>
            </a:ln>
            <a:effectLst/>
          </c:spPr>
          <c:marker>
            <c:symbol val="none"/>
          </c:marker>
          <c:cat>
            <c:numRef>
              <c:f>'Gráficos - Monografia'!$B$169:$AQ$169</c:f>
              <c:numCache>
                <c:formatCode>General</c:formatCode>
                <c:ptCount val="4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numCache>
            </c:numRef>
          </c:cat>
          <c:val>
            <c:numRef>
              <c:f>'Gráficos - Monografia'!$B$170:$AQ$170</c:f>
              <c:numCache>
                <c:formatCode>#,##0</c:formatCode>
                <c:ptCount val="42"/>
                <c:pt idx="0">
                  <c:v>16390.386780871981</c:v>
                </c:pt>
                <c:pt idx="1">
                  <c:v>20323.351780034314</c:v>
                </c:pt>
                <c:pt idx="2">
                  <c:v>20721.904899899655</c:v>
                </c:pt>
                <c:pt idx="3">
                  <c:v>21323.319094521969</c:v>
                </c:pt>
                <c:pt idx="4">
                  <c:v>20553.244297288333</c:v>
                </c:pt>
                <c:pt idx="5">
                  <c:v>20781.192835271839</c:v>
                </c:pt>
                <c:pt idx="6">
                  <c:v>18961.693826721908</c:v>
                </c:pt>
                <c:pt idx="7">
                  <c:v>16224.666620542246</c:v>
                </c:pt>
                <c:pt idx="8">
                  <c:v>14451.927383099908</c:v>
                </c:pt>
                <c:pt idx="9">
                  <c:v>13007.420420359002</c:v>
                </c:pt>
                <c:pt idx="10">
                  <c:v>11798.203427187698</c:v>
                </c:pt>
                <c:pt idx="11">
                  <c:v>10570.288890776379</c:v>
                </c:pt>
                <c:pt idx="12">
                  <c:v>9331.6657179269641</c:v>
                </c:pt>
                <c:pt idx="13">
                  <c:v>8275.1517275991773</c:v>
                </c:pt>
                <c:pt idx="14">
                  <c:v>7515.5600073167261</c:v>
                </c:pt>
                <c:pt idx="15">
                  <c:v>6860.5560599817354</c:v>
                </c:pt>
                <c:pt idx="16">
                  <c:v>5568.6999780870374</c:v>
                </c:pt>
                <c:pt idx="17">
                  <c:v>5025.6528041598413</c:v>
                </c:pt>
                <c:pt idx="18">
                  <c:v>4549.1959123823272</c:v>
                </c:pt>
                <c:pt idx="19">
                  <c:v>4098.5154558692993</c:v>
                </c:pt>
                <c:pt idx="20">
                  <c:v>3749.8191320893975</c:v>
                </c:pt>
                <c:pt idx="21">
                  <c:v>3355.8032444751461</c:v>
                </c:pt>
                <c:pt idx="22">
                  <c:v>3132.2871289879899</c:v>
                </c:pt>
                <c:pt idx="23">
                  <c:v>2957.7798214273544</c:v>
                </c:pt>
                <c:pt idx="24">
                  <c:v>2810.6305580406165</c:v>
                </c:pt>
                <c:pt idx="25">
                  <c:v>2536.8832537542439</c:v>
                </c:pt>
                <c:pt idx="26">
                  <c:v>2382.4964886306102</c:v>
                </c:pt>
                <c:pt idx="27">
                  <c:v>2285.0377475453388</c:v>
                </c:pt>
                <c:pt idx="28">
                  <c:v>1476.5591882033877</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0-E092-4F78-9EA6-A51A50B71A5A}"/>
            </c:ext>
          </c:extLst>
        </c:ser>
        <c:ser>
          <c:idx val="1"/>
          <c:order val="1"/>
          <c:tx>
            <c:strRef>
              <c:f>'Gráficos - Monografia'!$A$171</c:f>
              <c:strCache>
                <c:ptCount val="1"/>
                <c:pt idx="0">
                  <c:v>Custos</c:v>
                </c:pt>
              </c:strCache>
            </c:strRef>
          </c:tx>
          <c:spPr>
            <a:ln w="12700" cap="rnd">
              <a:solidFill>
                <a:schemeClr val="tx1"/>
              </a:solidFill>
              <a:round/>
            </a:ln>
            <a:effectLst/>
          </c:spPr>
          <c:marker>
            <c:symbol val="none"/>
          </c:marker>
          <c:cat>
            <c:numRef>
              <c:f>'Gráficos - Monografia'!$B$169:$AQ$169</c:f>
              <c:numCache>
                <c:formatCode>General</c:formatCode>
                <c:ptCount val="4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numCache>
            </c:numRef>
          </c:cat>
          <c:val>
            <c:numRef>
              <c:f>'Gráficos - Monografia'!$B$171:$AQ$171</c:f>
              <c:numCache>
                <c:formatCode>#,##0</c:formatCode>
                <c:ptCount val="42"/>
                <c:pt idx="0">
                  <c:v>-4812.1486665140801</c:v>
                </c:pt>
                <c:pt idx="1">
                  <c:v>-5929.6246703844481</c:v>
                </c:pt>
                <c:pt idx="2">
                  <c:v>-6613.9573832003116</c:v>
                </c:pt>
                <c:pt idx="3">
                  <c:v>-7232.5122764203661</c:v>
                </c:pt>
                <c:pt idx="4">
                  <c:v>-7525.6889450110584</c:v>
                </c:pt>
                <c:pt idx="5">
                  <c:v>-7715.4924389519192</c:v>
                </c:pt>
                <c:pt idx="6">
                  <c:v>-6977.1184605563749</c:v>
                </c:pt>
                <c:pt idx="7">
                  <c:v>-5803.3502774851249</c:v>
                </c:pt>
                <c:pt idx="8">
                  <c:v>-5015.0832489032009</c:v>
                </c:pt>
                <c:pt idx="9">
                  <c:v>-4606.0943976703329</c:v>
                </c:pt>
                <c:pt idx="10">
                  <c:v>-4062.5871657171369</c:v>
                </c:pt>
                <c:pt idx="11">
                  <c:v>-3560.9600994159318</c:v>
                </c:pt>
                <c:pt idx="12">
                  <c:v>-3083.651457799438</c:v>
                </c:pt>
                <c:pt idx="13">
                  <c:v>-2702.4183428097294</c:v>
                </c:pt>
                <c:pt idx="14">
                  <c:v>-2387.0742940274672</c:v>
                </c:pt>
                <c:pt idx="15">
                  <c:v>-2042.705787543834</c:v>
                </c:pt>
                <c:pt idx="16">
                  <c:v>-1686.2910214034544</c:v>
                </c:pt>
                <c:pt idx="17">
                  <c:v>-1506.49614636927</c:v>
                </c:pt>
                <c:pt idx="18">
                  <c:v>-1346.8391855099601</c:v>
                </c:pt>
                <c:pt idx="19">
                  <c:v>-1209.3197947711819</c:v>
                </c:pt>
                <c:pt idx="20">
                  <c:v>-1089.2741624015898</c:v>
                </c:pt>
                <c:pt idx="21">
                  <c:v>-988.11392484361261</c:v>
                </c:pt>
                <c:pt idx="22">
                  <c:v>-937.44445955153651</c:v>
                </c:pt>
                <c:pt idx="23">
                  <c:v>-910.40617220954346</c:v>
                </c:pt>
                <c:pt idx="24">
                  <c:v>-875.55178020418407</c:v>
                </c:pt>
                <c:pt idx="25">
                  <c:v>-856.00441010669908</c:v>
                </c:pt>
                <c:pt idx="26">
                  <c:v>-927.0743376356188</c:v>
                </c:pt>
                <c:pt idx="27">
                  <c:v>-632.27801955430641</c:v>
                </c:pt>
                <c:pt idx="28">
                  <c:v>-1.9040216479907539</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1-E092-4F78-9EA6-A51A50B71A5A}"/>
            </c:ext>
          </c:extLst>
        </c:ser>
        <c:ser>
          <c:idx val="2"/>
          <c:order val="2"/>
          <c:tx>
            <c:strRef>
              <c:f>'Gráficos - Monografia'!$A$172</c:f>
              <c:strCache>
                <c:ptCount val="1"/>
                <c:pt idx="0">
                  <c:v>Despesas</c:v>
                </c:pt>
              </c:strCache>
            </c:strRef>
          </c:tx>
          <c:spPr>
            <a:ln w="12700" cap="rnd">
              <a:solidFill>
                <a:schemeClr val="tx1"/>
              </a:solidFill>
              <a:round/>
            </a:ln>
            <a:effectLst/>
          </c:spPr>
          <c:marker>
            <c:symbol val="none"/>
          </c:marker>
          <c:cat>
            <c:numRef>
              <c:f>'Gráficos - Monografia'!$B$169:$AQ$169</c:f>
              <c:numCache>
                <c:formatCode>General</c:formatCode>
                <c:ptCount val="4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numCache>
            </c:numRef>
          </c:cat>
          <c:val>
            <c:numRef>
              <c:f>'Gráficos - Monografia'!$B$172:$AQ$172</c:f>
              <c:numCache>
                <c:formatCode>#,##0</c:formatCode>
                <c:ptCount val="42"/>
                <c:pt idx="0">
                  <c:v>-781.1641074364461</c:v>
                </c:pt>
                <c:pt idx="1">
                  <c:v>-968.60880500361225</c:v>
                </c:pt>
                <c:pt idx="2">
                  <c:v>-1002.6853817559345</c:v>
                </c:pt>
                <c:pt idx="3">
                  <c:v>-1037.7793701173921</c:v>
                </c:pt>
                <c:pt idx="4">
                  <c:v>-1071.4625776831185</c:v>
                </c:pt>
                <c:pt idx="5">
                  <c:v>-1103.6064550136125</c:v>
                </c:pt>
                <c:pt idx="6">
                  <c:v>-1136.7146486640211</c:v>
                </c:pt>
                <c:pt idx="7">
                  <c:v>-1170.8160881239421</c:v>
                </c:pt>
                <c:pt idx="8">
                  <c:v>-1205.9405707676606</c:v>
                </c:pt>
                <c:pt idx="9">
                  <c:v>-1242.1187878906908</c:v>
                </c:pt>
                <c:pt idx="10">
                  <c:v>-1279.3823515274119</c:v>
                </c:pt>
                <c:pt idx="11">
                  <c:v>-1317.7638220732347</c:v>
                </c:pt>
                <c:pt idx="12">
                  <c:v>-1357.2967367354322</c:v>
                </c:pt>
                <c:pt idx="13">
                  <c:v>-1398.0156388374955</c:v>
                </c:pt>
                <c:pt idx="14">
                  <c:v>-1333.8309869013071</c:v>
                </c:pt>
                <c:pt idx="15">
                  <c:v>-1217.5835534901532</c:v>
                </c:pt>
                <c:pt idx="16">
                  <c:v>-988.31019648541508</c:v>
                </c:pt>
                <c:pt idx="17">
                  <c:v>-891.93239533312453</c:v>
                </c:pt>
                <c:pt idx="18">
                  <c:v>-807.37276630257566</c:v>
                </c:pt>
                <c:pt idx="19">
                  <c:v>-727.38783404168305</c:v>
                </c:pt>
                <c:pt idx="20">
                  <c:v>-665.50263038108983</c:v>
                </c:pt>
                <c:pt idx="21">
                  <c:v>-595.57429507145696</c:v>
                </c:pt>
                <c:pt idx="22">
                  <c:v>-555.90556504756842</c:v>
                </c:pt>
                <c:pt idx="23">
                  <c:v>-524.93471869167661</c:v>
                </c:pt>
                <c:pt idx="24">
                  <c:v>-498.81926661440571</c:v>
                </c:pt>
                <c:pt idx="25">
                  <c:v>-450.23570974274315</c:v>
                </c:pt>
                <c:pt idx="26">
                  <c:v>-422.83577532815809</c:v>
                </c:pt>
                <c:pt idx="27">
                  <c:v>-405.53919481022302</c:v>
                </c:pt>
                <c:pt idx="28">
                  <c:v>-262.05371220536358</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2-E092-4F78-9EA6-A51A50B71A5A}"/>
            </c:ext>
          </c:extLst>
        </c:ser>
        <c:ser>
          <c:idx val="3"/>
          <c:order val="3"/>
          <c:tx>
            <c:strRef>
              <c:f>'Gráficos - Monografia'!$A$174</c:f>
              <c:strCache>
                <c:ptCount val="1"/>
                <c:pt idx="0">
                  <c:v>Resultado Financeiro</c:v>
                </c:pt>
              </c:strCache>
            </c:strRef>
          </c:tx>
          <c:spPr>
            <a:ln w="12700" cap="rnd">
              <a:solidFill>
                <a:schemeClr val="tx1"/>
              </a:solidFill>
              <a:round/>
            </a:ln>
            <a:effectLst/>
          </c:spPr>
          <c:marker>
            <c:symbol val="none"/>
          </c:marker>
          <c:cat>
            <c:numRef>
              <c:f>'Gráficos - Monografia'!$B$169:$AQ$169</c:f>
              <c:numCache>
                <c:formatCode>General</c:formatCode>
                <c:ptCount val="4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numCache>
            </c:numRef>
          </c:cat>
          <c:val>
            <c:numRef>
              <c:f>'Gráficos - Monografia'!$B$174:$AQ$174</c:f>
              <c:numCache>
                <c:formatCode>#,##0</c:formatCode>
                <c:ptCount val="42"/>
                <c:pt idx="0">
                  <c:v>-311.56733934736405</c:v>
                </c:pt>
                <c:pt idx="1">
                  <c:v>222.26858108767311</c:v>
                </c:pt>
                <c:pt idx="2">
                  <c:v>124.52827915828009</c:v>
                </c:pt>
                <c:pt idx="3">
                  <c:v>167.51869219870528</c:v>
                </c:pt>
                <c:pt idx="4">
                  <c:v>169.43670827938641</c:v>
                </c:pt>
                <c:pt idx="5">
                  <c:v>171.92155362573834</c:v>
                </c:pt>
                <c:pt idx="6">
                  <c:v>173.82827288767115</c:v>
                </c:pt>
                <c:pt idx="7">
                  <c:v>155.84240972997529</c:v>
                </c:pt>
                <c:pt idx="8">
                  <c:v>133.34732468085258</c:v>
                </c:pt>
                <c:pt idx="9">
                  <c:v>118.77753164914797</c:v>
                </c:pt>
                <c:pt idx="10">
                  <c:v>123.94926549949027</c:v>
                </c:pt>
                <c:pt idx="11">
                  <c:v>112.42649209097479</c:v>
                </c:pt>
                <c:pt idx="12">
                  <c:v>100.72554755579984</c:v>
                </c:pt>
                <c:pt idx="13">
                  <c:v>88.9225591427371</c:v>
                </c:pt>
                <c:pt idx="14">
                  <c:v>78.854910918951191</c:v>
                </c:pt>
                <c:pt idx="15">
                  <c:v>71.616670532629755</c:v>
                </c:pt>
                <c:pt idx="16">
                  <c:v>65.375059548459205</c:v>
                </c:pt>
                <c:pt idx="17">
                  <c:v>53.064808375884382</c:v>
                </c:pt>
                <c:pt idx="18">
                  <c:v>47.890046880938087</c:v>
                </c:pt>
                <c:pt idx="19">
                  <c:v>43.349832152000999</c:v>
                </c:pt>
                <c:pt idx="20">
                  <c:v>33.414452254262372</c:v>
                </c:pt>
                <c:pt idx="21">
                  <c:v>30.571594446932473</c:v>
                </c:pt>
                <c:pt idx="22">
                  <c:v>27.359254465329464</c:v>
                </c:pt>
                <c:pt idx="23">
                  <c:v>25.53696816449132</c:v>
                </c:pt>
                <c:pt idx="24">
                  <c:v>24.114241775072806</c:v>
                </c:pt>
                <c:pt idx="25">
                  <c:v>22.914560551803444</c:v>
                </c:pt>
                <c:pt idx="26">
                  <c:v>20.682748490265105</c:v>
                </c:pt>
                <c:pt idx="27">
                  <c:v>19.424061229606934</c:v>
                </c:pt>
                <c:pt idx="28">
                  <c:v>18.62949781126208</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3-E092-4F78-9EA6-A51A50B71A5A}"/>
            </c:ext>
          </c:extLst>
        </c:ser>
        <c:ser>
          <c:idx val="4"/>
          <c:order val="4"/>
          <c:tx>
            <c:strRef>
              <c:f>'Gráficos - Monografia'!$A$176</c:f>
              <c:strCache>
                <c:ptCount val="1"/>
                <c:pt idx="0">
                  <c:v>Lucro Líquido</c:v>
                </c:pt>
              </c:strCache>
            </c:strRef>
          </c:tx>
          <c:spPr>
            <a:ln w="12700" cap="rnd">
              <a:solidFill>
                <a:schemeClr val="tx1"/>
              </a:solidFill>
              <a:round/>
            </a:ln>
            <a:effectLst/>
          </c:spPr>
          <c:marker>
            <c:symbol val="none"/>
          </c:marker>
          <c:cat>
            <c:numRef>
              <c:f>'Gráficos - Monografia'!$B$169:$AQ$169</c:f>
              <c:numCache>
                <c:formatCode>General</c:formatCode>
                <c:ptCount val="4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numCache>
            </c:numRef>
          </c:cat>
          <c:val>
            <c:numRef>
              <c:f>'Gráficos - Monografia'!$B$176:$AQ$176</c:f>
              <c:numCache>
                <c:formatCode>#,##0</c:formatCode>
                <c:ptCount val="42"/>
                <c:pt idx="0">
                  <c:v>6520.0055696372056</c:v>
                </c:pt>
                <c:pt idx="1">
                  <c:v>8510.7613755547081</c:v>
                </c:pt>
                <c:pt idx="2">
                  <c:v>8225.4107674987281</c:v>
                </c:pt>
                <c:pt idx="3">
                  <c:v>8204.6165692923423</c:v>
                </c:pt>
                <c:pt idx="4">
                  <c:v>7500.7190516192586</c:v>
                </c:pt>
                <c:pt idx="5">
                  <c:v>7500.7508743293893</c:v>
                </c:pt>
                <c:pt idx="6">
                  <c:v>6811.067038919794</c:v>
                </c:pt>
                <c:pt idx="7">
                  <c:v>5811.8059893464188</c:v>
                </c:pt>
                <c:pt idx="8">
                  <c:v>5167.3346998747584</c:v>
                </c:pt>
                <c:pt idx="9">
                  <c:v>4485.6893942191809</c:v>
                </c:pt>
                <c:pt idx="10">
                  <c:v>4054.6823771434874</c:v>
                </c:pt>
                <c:pt idx="11">
                  <c:v>3572.3946731558535</c:v>
                </c:pt>
                <c:pt idx="12">
                  <c:v>3066.3731823873022</c:v>
                </c:pt>
                <c:pt idx="13">
                  <c:v>2611.8347467161207</c:v>
                </c:pt>
                <c:pt idx="14">
                  <c:v>2372.9058730857755</c:v>
                </c:pt>
                <c:pt idx="15">
                  <c:v>2255.834762794012</c:v>
                </c:pt>
                <c:pt idx="16">
                  <c:v>1817.2054115937976</c:v>
                </c:pt>
                <c:pt idx="17">
                  <c:v>1646.2105068155663</c:v>
                </c:pt>
                <c:pt idx="18">
                  <c:v>1501.1567464338466</c:v>
                </c:pt>
                <c:pt idx="19">
                  <c:v>1355.2744013596052</c:v>
                </c:pt>
                <c:pt idx="20">
                  <c:v>1247.1707284282311</c:v>
                </c:pt>
                <c:pt idx="21">
                  <c:v>1107.7885035036006</c:v>
                </c:pt>
                <c:pt idx="22">
                  <c:v>1023.2315898105385</c:v>
                </c:pt>
                <c:pt idx="23">
                  <c:v>949.40342400270583</c:v>
                </c:pt>
                <c:pt idx="24">
                  <c:v>895.18096922707298</c:v>
                </c:pt>
                <c:pt idx="25">
                  <c:v>765.37021234172209</c:v>
                </c:pt>
                <c:pt idx="26">
                  <c:v>636.95153465195222</c:v>
                </c:pt>
                <c:pt idx="27">
                  <c:v>780.16033152553234</c:v>
                </c:pt>
                <c:pt idx="28">
                  <c:v>776.53903507200141</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4-E092-4F78-9EA6-A51A50B71A5A}"/>
            </c:ext>
          </c:extLst>
        </c:ser>
        <c:dLbls>
          <c:showLegendKey val="0"/>
          <c:showVal val="0"/>
          <c:showCatName val="0"/>
          <c:showSerName val="0"/>
          <c:showPercent val="0"/>
          <c:showBubbleSize val="0"/>
        </c:dLbls>
        <c:smooth val="0"/>
        <c:axId val="1340672367"/>
        <c:axId val="1199289631"/>
      </c:lineChart>
      <c:catAx>
        <c:axId val="13406723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199289631"/>
        <c:crosses val="autoZero"/>
        <c:auto val="1"/>
        <c:lblAlgn val="ctr"/>
        <c:lblOffset val="100"/>
        <c:noMultiLvlLbl val="0"/>
      </c:catAx>
      <c:valAx>
        <c:axId val="1199289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340672367"/>
        <c:crosses val="autoZero"/>
        <c:crossBetween val="between"/>
      </c:val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89347450002545E-2"/>
          <c:y val="2.5631750497068714E-2"/>
          <c:w val="0.90468312406895079"/>
          <c:h val="0.61796963839373908"/>
        </c:manualLayout>
      </c:layout>
      <c:lineChart>
        <c:grouping val="standard"/>
        <c:varyColors val="0"/>
        <c:ser>
          <c:idx val="2"/>
          <c:order val="0"/>
          <c:tx>
            <c:strRef>
              <c:f>'Gráficos - Monografia'!$A$178</c:f>
              <c:strCache>
                <c:ptCount val="1"/>
                <c:pt idx="0">
                  <c:v>Depreciação/Amortizações</c:v>
                </c:pt>
              </c:strCache>
            </c:strRef>
          </c:tx>
          <c:spPr>
            <a:ln w="12700" cap="rnd">
              <a:solidFill>
                <a:schemeClr val="tx1"/>
              </a:solidFill>
              <a:round/>
            </a:ln>
            <a:effectLst/>
          </c:spPr>
          <c:marker>
            <c:symbol val="none"/>
          </c:marker>
          <c:cat>
            <c:numRef>
              <c:f>'Gráficos - Monografia'!$B$169:$AR$169</c:f>
              <c:numCache>
                <c:formatCode>General</c:formatCode>
                <c:ptCount val="4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pt idx="42">
                  <c:v>2066</c:v>
                </c:pt>
              </c:numCache>
            </c:numRef>
          </c:cat>
          <c:val>
            <c:numRef>
              <c:f>'Gráficos - Monografia'!$B$178:$AQ$178</c:f>
              <c:numCache>
                <c:formatCode>#,##0</c:formatCode>
                <c:ptCount val="42"/>
                <c:pt idx="0">
                  <c:v>1596.9531915402797</c:v>
                </c:pt>
                <c:pt idx="1">
                  <c:v>1891.224984240544</c:v>
                </c:pt>
                <c:pt idx="2">
                  <c:v>2219.4582125376492</c:v>
                </c:pt>
                <c:pt idx="3">
                  <c:v>2392.3301476040915</c:v>
                </c:pt>
                <c:pt idx="4">
                  <c:v>2655.3508833659366</c:v>
                </c:pt>
                <c:pt idx="5">
                  <c:v>2587.6981410118365</c:v>
                </c:pt>
                <c:pt idx="6">
                  <c:v>2369.0125761991999</c:v>
                </c:pt>
                <c:pt idx="7">
                  <c:v>2064.7267952979869</c:v>
                </c:pt>
                <c:pt idx="8">
                  <c:v>1828.137374014656</c:v>
                </c:pt>
                <c:pt idx="9">
                  <c:v>1639.3550532193231</c:v>
                </c:pt>
                <c:pt idx="10">
                  <c:v>1457.6845995409428</c:v>
                </c:pt>
                <c:pt idx="11">
                  <c:v>1283.1199727102191</c:v>
                </c:pt>
                <c:pt idx="12">
                  <c:v>1140.9963347259759</c:v>
                </c:pt>
                <c:pt idx="13">
                  <c:v>1046.6193330039277</c:v>
                </c:pt>
                <c:pt idx="14">
                  <c:v>932.58941753807062</c:v>
                </c:pt>
                <c:pt idx="15">
                  <c:v>761.804332869164</c:v>
                </c:pt>
                <c:pt idx="16">
                  <c:v>696.69733130685336</c:v>
                </c:pt>
                <c:pt idx="17">
                  <c:v>643.18237575193064</c:v>
                </c:pt>
                <c:pt idx="18">
                  <c:v>595.39629467051498</c:v>
                </c:pt>
                <c:pt idx="19">
                  <c:v>564.35475797985077</c:v>
                </c:pt>
                <c:pt idx="20">
                  <c:v>528.54482289560906</c:v>
                </c:pt>
                <c:pt idx="21">
                  <c:v>521.83892808162614</c:v>
                </c:pt>
                <c:pt idx="22">
                  <c:v>528.27217103676367</c:v>
                </c:pt>
                <c:pt idx="23">
                  <c:v>547.8347497868856</c:v>
                </c:pt>
                <c:pt idx="24">
                  <c:v>553.6994209799501</c:v>
                </c:pt>
                <c:pt idx="25">
                  <c:v>603.08183312543747</c:v>
                </c:pt>
                <c:pt idx="26">
                  <c:v>717.3235814515607</c:v>
                </c:pt>
                <c:pt idx="27">
                  <c:v>453.47301428149234</c:v>
                </c:pt>
                <c:pt idx="28">
                  <c:v>10.173088515200186</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2-47B8-40AA-8C4C-AEC832C5630E}"/>
            </c:ext>
          </c:extLst>
        </c:ser>
        <c:ser>
          <c:idx val="3"/>
          <c:order val="1"/>
          <c:tx>
            <c:strRef>
              <c:f>'Gráficos - Monografia'!$A$179</c:f>
              <c:strCache>
                <c:ptCount val="1"/>
                <c:pt idx="0">
                  <c:v>Abandono</c:v>
                </c:pt>
              </c:strCache>
            </c:strRef>
          </c:tx>
          <c:spPr>
            <a:ln w="12700" cap="rnd">
              <a:solidFill>
                <a:schemeClr val="tx1"/>
              </a:solidFill>
              <a:round/>
            </a:ln>
            <a:effectLst/>
          </c:spPr>
          <c:marker>
            <c:symbol val="none"/>
          </c:marker>
          <c:cat>
            <c:numRef>
              <c:f>'Gráficos - Monografia'!$B$169:$AR$169</c:f>
              <c:numCache>
                <c:formatCode>General</c:formatCode>
                <c:ptCount val="4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pt idx="42">
                  <c:v>2066</c:v>
                </c:pt>
              </c:numCache>
            </c:numRef>
          </c:cat>
          <c:val>
            <c:numRef>
              <c:f>'Gráficos - Monografia'!$B$179:$AQ$179</c:f>
              <c:numCache>
                <c:formatCode>#,##0</c:formatCode>
                <c:ptCount val="42"/>
                <c:pt idx="0">
                  <c:v>-57.710249999999988</c:v>
                </c:pt>
                <c:pt idx="1">
                  <c:v>-58.866841799999989</c:v>
                </c:pt>
                <c:pt idx="2">
                  <c:v>-121.7268</c:v>
                </c:pt>
                <c:pt idx="3">
                  <c:v>0</c:v>
                </c:pt>
                <c:pt idx="4">
                  <c:v>-64.588726987199991</c:v>
                </c:pt>
                <c:pt idx="5">
                  <c:v>-66.526388796815993</c:v>
                </c:pt>
                <c:pt idx="6">
                  <c:v>0</c:v>
                </c:pt>
                <c:pt idx="7">
                  <c:v>0</c:v>
                </c:pt>
                <c:pt idx="8">
                  <c:v>0</c:v>
                </c:pt>
                <c:pt idx="9">
                  <c:v>0</c:v>
                </c:pt>
                <c:pt idx="10">
                  <c:v>0</c:v>
                </c:pt>
                <c:pt idx="11">
                  <c:v>0</c:v>
                </c:pt>
                <c:pt idx="12">
                  <c:v>0</c:v>
                </c:pt>
                <c:pt idx="13">
                  <c:v>0</c:v>
                </c:pt>
                <c:pt idx="14">
                  <c:v>0</c:v>
                </c:pt>
                <c:pt idx="15">
                  <c:v>0</c:v>
                </c:pt>
                <c:pt idx="16">
                  <c:v>-732.7692572934875</c:v>
                </c:pt>
                <c:pt idx="17">
                  <c:v>0</c:v>
                </c:pt>
                <c:pt idx="18">
                  <c:v>0</c:v>
                </c:pt>
                <c:pt idx="19">
                  <c:v>0</c:v>
                </c:pt>
                <c:pt idx="20">
                  <c:v>0</c:v>
                </c:pt>
                <c:pt idx="21">
                  <c:v>0</c:v>
                </c:pt>
                <c:pt idx="22">
                  <c:v>0</c:v>
                </c:pt>
                <c:pt idx="23">
                  <c:v>0</c:v>
                </c:pt>
                <c:pt idx="24">
                  <c:v>0</c:v>
                </c:pt>
                <c:pt idx="25">
                  <c:v>0</c:v>
                </c:pt>
                <c:pt idx="26">
                  <c:v>0</c:v>
                </c:pt>
                <c:pt idx="27">
                  <c:v>0</c:v>
                </c:pt>
                <c:pt idx="28">
                  <c:v>0</c:v>
                </c:pt>
                <c:pt idx="29">
                  <c:v>-10869.625044523464</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3-47B8-40AA-8C4C-AEC832C5630E}"/>
            </c:ext>
          </c:extLst>
        </c:ser>
        <c:ser>
          <c:idx val="4"/>
          <c:order val="2"/>
          <c:tx>
            <c:strRef>
              <c:f>'Gráficos - Monografia'!$A$180</c:f>
              <c:strCache>
                <c:ptCount val="1"/>
                <c:pt idx="0">
                  <c:v>Variação do Capital de Giro</c:v>
                </c:pt>
              </c:strCache>
            </c:strRef>
          </c:tx>
          <c:spPr>
            <a:ln w="12700" cap="rnd">
              <a:solidFill>
                <a:schemeClr val="tx1"/>
              </a:solidFill>
              <a:round/>
            </a:ln>
            <a:effectLst/>
          </c:spPr>
          <c:marker>
            <c:symbol val="none"/>
          </c:marker>
          <c:cat>
            <c:numRef>
              <c:f>'Gráficos - Monografia'!$B$169:$AR$169</c:f>
              <c:numCache>
                <c:formatCode>General</c:formatCode>
                <c:ptCount val="4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pt idx="42">
                  <c:v>2066</c:v>
                </c:pt>
              </c:numCache>
            </c:numRef>
          </c:cat>
          <c:val>
            <c:numRef>
              <c:f>'Gráficos - Monografia'!$B$180:$AQ$180</c:f>
              <c:numCache>
                <c:formatCode>#,##0</c:formatCode>
                <c:ptCount val="42"/>
                <c:pt idx="0">
                  <c:v>-1082.6085989700173</c:v>
                </c:pt>
                <c:pt idx="1">
                  <c:v>-580.48134218906705</c:v>
                </c:pt>
                <c:pt idx="2">
                  <c:v>34.394185195168482</c:v>
                </c:pt>
                <c:pt idx="3">
                  <c:v>-15.756499500703532</c:v>
                </c:pt>
                <c:pt idx="4">
                  <c:v>200.52097917740372</c:v>
                </c:pt>
                <c:pt idx="5">
                  <c:v>13.530800975340419</c:v>
                </c:pt>
                <c:pt idx="6">
                  <c:v>287.95682717192636</c:v>
                </c:pt>
                <c:pt idx="7">
                  <c:v>403.67556671605769</c:v>
                </c:pt>
                <c:pt idx="8">
                  <c:v>244.38426108784438</c:v>
                </c:pt>
                <c:pt idx="9">
                  <c:v>196.66342060175981</c:v>
                </c:pt>
                <c:pt idx="10">
                  <c:v>168.45813702328411</c:v>
                </c:pt>
                <c:pt idx="11">
                  <c:v>171.85625586552359</c:v>
                </c:pt>
                <c:pt idx="12">
                  <c:v>176.06042563267403</c:v>
                </c:pt>
                <c:pt idx="13">
                  <c:v>147.34130428998614</c:v>
                </c:pt>
                <c:pt idx="14">
                  <c:v>107.73225064288185</c:v>
                </c:pt>
                <c:pt idx="15">
                  <c:v>82.225582530084878</c:v>
                </c:pt>
                <c:pt idx="16">
                  <c:v>189.31420478327701</c:v>
                </c:pt>
                <c:pt idx="17">
                  <c:v>78.444894486394475</c:v>
                </c:pt>
                <c:pt idx="18">
                  <c:v>69.787769434820163</c:v>
                </c:pt>
                <c:pt idx="19">
                  <c:v>65.991442436840728</c:v>
                </c:pt>
                <c:pt idx="20">
                  <c:v>51.827280256567349</c:v>
                </c:pt>
                <c:pt idx="21">
                  <c:v>56.934347450671602</c:v>
                </c:pt>
                <c:pt idx="22">
                  <c:v>32.785039290965969</c:v>
                </c:pt>
                <c:pt idx="23">
                  <c:v>25.605301720787015</c:v>
                </c:pt>
                <c:pt idx="24">
                  <c:v>22.200317614023195</c:v>
                </c:pt>
                <c:pt idx="25">
                  <c:v>39.563841039256481</c:v>
                </c:pt>
                <c:pt idx="26">
                  <c:v>22.550319884034952</c:v>
                </c:pt>
                <c:pt idx="27">
                  <c:v>14.216320325330628</c:v>
                </c:pt>
                <c:pt idx="28">
                  <c:v>118.81697771128709</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4-47B8-40AA-8C4C-AEC832C5630E}"/>
            </c:ext>
          </c:extLst>
        </c:ser>
        <c:ser>
          <c:idx val="5"/>
          <c:order val="3"/>
          <c:tx>
            <c:strRef>
              <c:f>'Gráficos - Monografia'!$A$183</c:f>
              <c:strCache>
                <c:ptCount val="1"/>
                <c:pt idx="0">
                  <c:v>Variação da Dívida Líquida</c:v>
                </c:pt>
              </c:strCache>
            </c:strRef>
          </c:tx>
          <c:spPr>
            <a:ln w="12700" cap="rnd">
              <a:solidFill>
                <a:schemeClr val="tx1"/>
              </a:solidFill>
              <a:round/>
            </a:ln>
            <a:effectLst/>
          </c:spPr>
          <c:marker>
            <c:symbol val="none"/>
          </c:marker>
          <c:cat>
            <c:numRef>
              <c:f>'Gráficos - Monografia'!$B$169:$AR$169</c:f>
              <c:numCache>
                <c:formatCode>General</c:formatCode>
                <c:ptCount val="4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pt idx="42">
                  <c:v>2066</c:v>
                </c:pt>
              </c:numCache>
            </c:numRef>
          </c:cat>
          <c:val>
            <c:numRef>
              <c:f>'Gráficos - Monografia'!$B$183:$AQ$183</c:f>
              <c:numCache>
                <c:formatCode>#,##0</c:formatCode>
                <c:ptCount val="42"/>
                <c:pt idx="0">
                  <c:v>-2927.860289411361</c:v>
                </c:pt>
                <c:pt idx="1">
                  <c:v>-2358.6130355949017</c:v>
                </c:pt>
                <c:pt idx="2">
                  <c:v>-3249.675955458556</c:v>
                </c:pt>
                <c:pt idx="3">
                  <c:v>-905.21040074048778</c:v>
                </c:pt>
                <c:pt idx="4">
                  <c:v>-756.65530500743444</c:v>
                </c:pt>
                <c:pt idx="5">
                  <c:v>-57.008682623194545</c:v>
                </c:pt>
                <c:pt idx="6">
                  <c:v>455.04675059220978</c:v>
                </c:pt>
                <c:pt idx="7">
                  <c:v>684.51553455207568</c:v>
                </c:pt>
                <c:pt idx="8">
                  <c:v>443.35238758296373</c:v>
                </c:pt>
                <c:pt idx="9">
                  <c:v>361.26329089177534</c:v>
                </c:pt>
                <c:pt idx="10">
                  <c:v>302.41855638163361</c:v>
                </c:pt>
                <c:pt idx="11">
                  <c:v>307.09470968286951</c:v>
                </c:pt>
                <c:pt idx="12">
                  <c:v>309.77288108693756</c:v>
                </c:pt>
                <c:pt idx="13">
                  <c:v>264.2283705540558</c:v>
                </c:pt>
                <c:pt idx="14">
                  <c:v>189.96973478251289</c:v>
                </c:pt>
                <c:pt idx="15">
                  <c:v>163.81290479372024</c:v>
                </c:pt>
                <c:pt idx="16">
                  <c:v>323.08614049065204</c:v>
                </c:pt>
                <c:pt idx="17">
                  <c:v>135.81312809331598</c:v>
                </c:pt>
                <c:pt idx="18">
                  <c:v>119.15926273211358</c:v>
                </c:pt>
                <c:pt idx="19">
                  <c:v>112.71271725237602</c:v>
                </c:pt>
                <c:pt idx="20">
                  <c:v>87.207043441012843</c:v>
                </c:pt>
                <c:pt idx="21">
                  <c:v>98.541218488193522</c:v>
                </c:pt>
                <c:pt idx="22">
                  <c:v>55.90015799925186</c:v>
                </c:pt>
                <c:pt idx="23">
                  <c:v>43.643323182323911</c:v>
                </c:pt>
                <c:pt idx="24">
                  <c:v>36.801225964688228</c:v>
                </c:pt>
                <c:pt idx="25">
                  <c:v>68.462703586833186</c:v>
                </c:pt>
                <c:pt idx="26">
                  <c:v>38.611285564778086</c:v>
                </c:pt>
                <c:pt idx="27">
                  <c:v>24.373898111109156</c:v>
                </c:pt>
                <c:pt idx="28">
                  <c:v>202.19606585288761</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5-47B8-40AA-8C4C-AEC832C5630E}"/>
            </c:ext>
          </c:extLst>
        </c:ser>
        <c:ser>
          <c:idx val="6"/>
          <c:order val="4"/>
          <c:tx>
            <c:strRef>
              <c:f>'Gráficos - Monografia'!$A$185</c:f>
              <c:strCache>
                <c:ptCount val="1"/>
                <c:pt idx="0">
                  <c:v>Fluxo de Caixa dos Acionistas</c:v>
                </c:pt>
              </c:strCache>
            </c:strRef>
          </c:tx>
          <c:spPr>
            <a:ln w="12700" cap="rnd">
              <a:solidFill>
                <a:schemeClr val="tx1"/>
              </a:solidFill>
              <a:round/>
            </a:ln>
            <a:effectLst/>
          </c:spPr>
          <c:marker>
            <c:symbol val="none"/>
          </c:marker>
          <c:cat>
            <c:numRef>
              <c:f>'Gráficos - Monografia'!$B$169:$AR$169</c:f>
              <c:numCache>
                <c:formatCode>General</c:formatCode>
                <c:ptCount val="4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pt idx="42">
                  <c:v>2066</c:v>
                </c:pt>
              </c:numCache>
            </c:numRef>
          </c:cat>
          <c:val>
            <c:numRef>
              <c:f>'Gráficos - Monografia'!$B$185:$AQ$185</c:f>
              <c:numCache>
                <c:formatCode>#,##0</c:formatCode>
                <c:ptCount val="42"/>
                <c:pt idx="0">
                  <c:v>2028.8765732809061</c:v>
                </c:pt>
                <c:pt idx="1">
                  <c:v>5389.6642516960828</c:v>
                </c:pt>
                <c:pt idx="2">
                  <c:v>5475.2076585377881</c:v>
                </c:pt>
                <c:pt idx="3">
                  <c:v>8046.4611559760424</c:v>
                </c:pt>
                <c:pt idx="4">
                  <c:v>8215.1101554037559</c:v>
                </c:pt>
                <c:pt idx="5">
                  <c:v>8604.4863720627654</c:v>
                </c:pt>
                <c:pt idx="6">
                  <c:v>9678.013727109932</c:v>
                </c:pt>
                <c:pt idx="7">
                  <c:v>8712.6135611161189</c:v>
                </c:pt>
                <c:pt idx="8">
                  <c:v>7423.8340674120118</c:v>
                </c:pt>
                <c:pt idx="9">
                  <c:v>6416.1268564460934</c:v>
                </c:pt>
                <c:pt idx="10">
                  <c:v>5708.6926395331884</c:v>
                </c:pt>
                <c:pt idx="11">
                  <c:v>5051.9900319977023</c:v>
                </c:pt>
                <c:pt idx="12">
                  <c:v>4402.5511766064355</c:v>
                </c:pt>
                <c:pt idx="13">
                  <c:v>3882.6095178731125</c:v>
                </c:pt>
                <c:pt idx="14">
                  <c:v>3410.4583859516115</c:v>
                </c:pt>
                <c:pt idx="15">
                  <c:v>3065.469360372098</c:v>
                </c:pt>
                <c:pt idx="16">
                  <c:v>2089.6766834670939</c:v>
                </c:pt>
                <c:pt idx="17">
                  <c:v>2293.9913428656537</c:v>
                </c:pt>
                <c:pt idx="18">
                  <c:v>2069.8475666703598</c:v>
                </c:pt>
                <c:pt idx="19">
                  <c:v>1876.5250304947485</c:v>
                </c:pt>
                <c:pt idx="20">
                  <c:v>1686.5836718590635</c:v>
                </c:pt>
                <c:pt idx="21">
                  <c:v>1550.4061253090272</c:v>
                </c:pt>
                <c:pt idx="22">
                  <c:v>1398.7469742931512</c:v>
                </c:pt>
                <c:pt idx="23">
                  <c:v>1318.1164280503162</c:v>
                </c:pt>
                <c:pt idx="24">
                  <c:v>1252.3556742158194</c:v>
                </c:pt>
                <c:pt idx="25">
                  <c:v>1213.6020049693175</c:v>
                </c:pt>
                <c:pt idx="26">
                  <c:v>1405.2636330371261</c:v>
                </c:pt>
                <c:pt idx="27">
                  <c:v>1262.0504757282642</c:v>
                </c:pt>
                <c:pt idx="28">
                  <c:v>1097.5520786361762</c:v>
                </c:pt>
                <c:pt idx="29">
                  <c:v>-10869.625044523464</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6-47B8-40AA-8C4C-AEC832C5630E}"/>
            </c:ext>
          </c:extLst>
        </c:ser>
        <c:ser>
          <c:idx val="0"/>
          <c:order val="5"/>
          <c:tx>
            <c:strRef>
              <c:f>'Gráficos - Monografia'!$A$181</c:f>
              <c:strCache>
                <c:ptCount val="1"/>
                <c:pt idx="0">
                  <c:v>Fluxo de Caixa Operacional</c:v>
                </c:pt>
              </c:strCache>
            </c:strRef>
          </c:tx>
          <c:spPr>
            <a:ln w="28575" cap="rnd">
              <a:solidFill>
                <a:schemeClr val="accent1"/>
              </a:solidFill>
              <a:round/>
            </a:ln>
            <a:effectLst/>
          </c:spPr>
          <c:marker>
            <c:symbol val="none"/>
          </c:marker>
          <c:cat>
            <c:numRef>
              <c:f>'Gráficos - Monografia'!$B$169:$AR$169</c:f>
              <c:numCache>
                <c:formatCode>General</c:formatCode>
                <c:ptCount val="43"/>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2055</c:v>
                </c:pt>
                <c:pt idx="32">
                  <c:v>2056</c:v>
                </c:pt>
                <c:pt idx="33">
                  <c:v>2057</c:v>
                </c:pt>
                <c:pt idx="34">
                  <c:v>2058</c:v>
                </c:pt>
                <c:pt idx="35">
                  <c:v>2059</c:v>
                </c:pt>
                <c:pt idx="36">
                  <c:v>2060</c:v>
                </c:pt>
                <c:pt idx="37">
                  <c:v>2061</c:v>
                </c:pt>
                <c:pt idx="38">
                  <c:v>2062</c:v>
                </c:pt>
                <c:pt idx="39">
                  <c:v>2063</c:v>
                </c:pt>
                <c:pt idx="40">
                  <c:v>2064</c:v>
                </c:pt>
                <c:pt idx="41">
                  <c:v>2065</c:v>
                </c:pt>
                <c:pt idx="42">
                  <c:v>2066</c:v>
                </c:pt>
              </c:numCache>
            </c:numRef>
          </c:cat>
          <c:val>
            <c:numRef>
              <c:f>'Gráficos - Monografia'!$B$181:$AQ$181</c:f>
              <c:numCache>
                <c:formatCode>#,##0</c:formatCode>
                <c:ptCount val="42"/>
                <c:pt idx="0">
                  <c:v>6976.6399122074672</c:v>
                </c:pt>
                <c:pt idx="1">
                  <c:v>9762.6381758061852</c:v>
                </c:pt>
                <c:pt idx="2">
                  <c:v>10357.536365231545</c:v>
                </c:pt>
                <c:pt idx="3">
                  <c:v>10581.19021739573</c:v>
                </c:pt>
                <c:pt idx="4">
                  <c:v>10292.002187175398</c:v>
                </c:pt>
                <c:pt idx="5">
                  <c:v>10035.453427519751</c:v>
                </c:pt>
                <c:pt idx="6">
                  <c:v>9468.0364422909206</c:v>
                </c:pt>
                <c:pt idx="7">
                  <c:v>8280.208351360463</c:v>
                </c:pt>
                <c:pt idx="8">
                  <c:v>7239.8563349772585</c:v>
                </c:pt>
                <c:pt idx="9">
                  <c:v>6321.7078680402637</c:v>
                </c:pt>
                <c:pt idx="10">
                  <c:v>5680.825113707715</c:v>
                </c:pt>
                <c:pt idx="11">
                  <c:v>5027.3709017315969</c:v>
                </c:pt>
                <c:pt idx="12">
                  <c:v>4383.4299427459528</c:v>
                </c:pt>
                <c:pt idx="13">
                  <c:v>3805.7953840100345</c:v>
                </c:pt>
                <c:pt idx="14">
                  <c:v>3413.2275412667277</c:v>
                </c:pt>
                <c:pt idx="15">
                  <c:v>3099.8646781932607</c:v>
                </c:pt>
                <c:pt idx="16">
                  <c:v>1970.4476903904406</c:v>
                </c:pt>
                <c:pt idx="17">
                  <c:v>2367.8377770538914</c:v>
                </c:pt>
                <c:pt idx="18">
                  <c:v>2166.3408105391818</c:v>
                </c:pt>
                <c:pt idx="19">
                  <c:v>1985.6206017762968</c:v>
                </c:pt>
                <c:pt idx="20">
                  <c:v>1827.5428315804074</c:v>
                </c:pt>
                <c:pt idx="21">
                  <c:v>1686.5617790358983</c:v>
                </c:pt>
                <c:pt idx="22">
                  <c:v>1584.288800138268</c:v>
                </c:pt>
                <c:pt idx="23">
                  <c:v>1522.8434755103785</c:v>
                </c:pt>
                <c:pt idx="24">
                  <c:v>1471.0807078210462</c:v>
                </c:pt>
                <c:pt idx="25">
                  <c:v>1408.0158865064161</c:v>
                </c:pt>
                <c:pt idx="26">
                  <c:v>1376.825435987548</c:v>
                </c:pt>
                <c:pt idx="27">
                  <c:v>1247.8496661323552</c:v>
                </c:pt>
                <c:pt idx="28">
                  <c:v>905.52910129848874</c:v>
                </c:pt>
                <c:pt idx="29">
                  <c:v>-10869.625044523464</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0-FE2A-4FFF-B998-65BB1A05F76C}"/>
            </c:ext>
          </c:extLst>
        </c:ser>
        <c:dLbls>
          <c:showLegendKey val="0"/>
          <c:showVal val="0"/>
          <c:showCatName val="0"/>
          <c:showSerName val="0"/>
          <c:showPercent val="0"/>
          <c:showBubbleSize val="0"/>
        </c:dLbls>
        <c:smooth val="0"/>
        <c:axId val="1340672367"/>
        <c:axId val="1199289631"/>
      </c:lineChart>
      <c:catAx>
        <c:axId val="13406723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199289631"/>
        <c:crosses val="autoZero"/>
        <c:auto val="1"/>
        <c:lblAlgn val="ctr"/>
        <c:lblOffset val="100"/>
        <c:noMultiLvlLbl val="0"/>
      </c:catAx>
      <c:valAx>
        <c:axId val="1199289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340672367"/>
        <c:crosses val="autoZero"/>
        <c:crossBetween val="between"/>
      </c:val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94745736957808"/>
          <c:y val="5.146198830409357E-2"/>
          <c:w val="0.79967555076023655"/>
          <c:h val="0.67394944053046002"/>
        </c:manualLayout>
      </c:layout>
      <c:lineChart>
        <c:grouping val="standard"/>
        <c:varyColors val="0"/>
        <c:ser>
          <c:idx val="0"/>
          <c:order val="0"/>
          <c:tx>
            <c:strRef>
              <c:f>'Gráficos - Monografia'!$A$170</c:f>
              <c:strCache>
                <c:ptCount val="1"/>
                <c:pt idx="0">
                  <c:v>Receita Líquida</c:v>
                </c:pt>
              </c:strCache>
            </c:strRef>
          </c:tx>
          <c:spPr>
            <a:ln w="12700" cap="rnd">
              <a:solidFill>
                <a:schemeClr val="tx1"/>
              </a:solidFill>
              <a:round/>
            </a:ln>
            <a:effectLst/>
          </c:spPr>
          <c:marker>
            <c:symbol val="none"/>
          </c:marker>
          <c:cat>
            <c:numRef>
              <c:extLst>
                <c:ext xmlns:c15="http://schemas.microsoft.com/office/drawing/2012/chart" uri="{02D57815-91ED-43cb-92C2-25804820EDAC}">
                  <c15:fullRef>
                    <c15:sqref>'Gráficos - Monografia'!$B$169:$AQ$169</c15:sqref>
                  </c15:fullRef>
                </c:ext>
              </c:extLst>
              <c:f>('Gráficos - Monografia'!$B$169:$AF$169,'Gráficos - Monografia'!$AQ$169)</c:f>
              <c:numCache>
                <c:formatCode>General</c:formatCode>
                <c:ptCount val="32"/>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pt idx="20">
                  <c:v>2044</c:v>
                </c:pt>
                <c:pt idx="21">
                  <c:v>2045</c:v>
                </c:pt>
                <c:pt idx="22">
                  <c:v>2046</c:v>
                </c:pt>
                <c:pt idx="23">
                  <c:v>2047</c:v>
                </c:pt>
                <c:pt idx="24">
                  <c:v>2048</c:v>
                </c:pt>
                <c:pt idx="25">
                  <c:v>2049</c:v>
                </c:pt>
                <c:pt idx="26">
                  <c:v>2050</c:v>
                </c:pt>
                <c:pt idx="27">
                  <c:v>2051</c:v>
                </c:pt>
                <c:pt idx="28">
                  <c:v>2052</c:v>
                </c:pt>
                <c:pt idx="29">
                  <c:v>2053</c:v>
                </c:pt>
                <c:pt idx="30">
                  <c:v>2054</c:v>
                </c:pt>
                <c:pt idx="31">
                  <c:v>2065</c:v>
                </c:pt>
              </c:numCache>
            </c:numRef>
          </c:cat>
          <c:val>
            <c:numRef>
              <c:extLst>
                <c:ext xmlns:c15="http://schemas.microsoft.com/office/drawing/2012/chart" uri="{02D57815-91ED-43cb-92C2-25804820EDAC}">
                  <c15:fullRef>
                    <c15:sqref>'Gráficos - Monografia'!$B$170:$AQ$170</c15:sqref>
                  </c15:fullRef>
                </c:ext>
              </c:extLst>
              <c:f>('Gráficos - Monografia'!$B$170:$AF$170,'Gráficos - Monografia'!$AQ$170)</c:f>
              <c:numCache>
                <c:formatCode>#,##0</c:formatCode>
                <c:ptCount val="32"/>
                <c:pt idx="0">
                  <c:v>16390.386780871981</c:v>
                </c:pt>
                <c:pt idx="1">
                  <c:v>20323.351780034314</c:v>
                </c:pt>
                <c:pt idx="2">
                  <c:v>20721.904899899655</c:v>
                </c:pt>
                <c:pt idx="3">
                  <c:v>21323.319094521969</c:v>
                </c:pt>
                <c:pt idx="4">
                  <c:v>20553.244297288333</c:v>
                </c:pt>
                <c:pt idx="5">
                  <c:v>20781.192835271839</c:v>
                </c:pt>
                <c:pt idx="6">
                  <c:v>18961.693826721908</c:v>
                </c:pt>
                <c:pt idx="7">
                  <c:v>16224.666620542246</c:v>
                </c:pt>
                <c:pt idx="8">
                  <c:v>14451.927383099908</c:v>
                </c:pt>
                <c:pt idx="9">
                  <c:v>13007.420420359002</c:v>
                </c:pt>
                <c:pt idx="10">
                  <c:v>11798.203427187698</c:v>
                </c:pt>
                <c:pt idx="11">
                  <c:v>10570.288890776379</c:v>
                </c:pt>
                <c:pt idx="12">
                  <c:v>9331.6657179269641</c:v>
                </c:pt>
                <c:pt idx="13">
                  <c:v>8275.1517275991773</c:v>
                </c:pt>
                <c:pt idx="14">
                  <c:v>7515.5600073167261</c:v>
                </c:pt>
                <c:pt idx="15">
                  <c:v>6860.5560599817354</c:v>
                </c:pt>
                <c:pt idx="16">
                  <c:v>5568.6999780870374</c:v>
                </c:pt>
                <c:pt idx="17">
                  <c:v>5025.6528041598413</c:v>
                </c:pt>
                <c:pt idx="18">
                  <c:v>4549.1959123823272</c:v>
                </c:pt>
                <c:pt idx="19">
                  <c:v>4098.5154558692993</c:v>
                </c:pt>
                <c:pt idx="20">
                  <c:v>3749.8191320893975</c:v>
                </c:pt>
                <c:pt idx="21">
                  <c:v>3355.8032444751461</c:v>
                </c:pt>
                <c:pt idx="22">
                  <c:v>3132.2871289879899</c:v>
                </c:pt>
                <c:pt idx="23">
                  <c:v>2957.7798214273544</c:v>
                </c:pt>
                <c:pt idx="24">
                  <c:v>2810.6305580406165</c:v>
                </c:pt>
                <c:pt idx="25">
                  <c:v>2536.8832537542439</c:v>
                </c:pt>
                <c:pt idx="26">
                  <c:v>2382.4964886306102</c:v>
                </c:pt>
                <c:pt idx="27">
                  <c:v>2285.0377475453388</c:v>
                </c:pt>
                <c:pt idx="28">
                  <c:v>1476.5591882033877</c:v>
                </c:pt>
                <c:pt idx="29">
                  <c:v>0</c:v>
                </c:pt>
                <c:pt idx="30">
                  <c:v>0</c:v>
                </c:pt>
                <c:pt idx="31">
                  <c:v>0</c:v>
                </c:pt>
              </c:numCache>
            </c:numRef>
          </c:val>
          <c:smooth val="0"/>
          <c:extLst>
            <c:ext xmlns:c16="http://schemas.microsoft.com/office/drawing/2014/chart" uri="{C3380CC4-5D6E-409C-BE32-E72D297353CC}">
              <c16:uniqueId val="{00000000-A995-4A4B-80DB-54E5E52F020C}"/>
            </c:ext>
          </c:extLst>
        </c:ser>
        <c:dLbls>
          <c:showLegendKey val="0"/>
          <c:showVal val="0"/>
          <c:showCatName val="0"/>
          <c:showSerName val="0"/>
          <c:showPercent val="0"/>
          <c:showBubbleSize val="0"/>
        </c:dLbls>
        <c:smooth val="0"/>
        <c:axId val="1340672367"/>
        <c:axId val="1199289631"/>
      </c:lineChart>
      <c:catAx>
        <c:axId val="134067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199289631"/>
        <c:crosses val="autoZero"/>
        <c:auto val="1"/>
        <c:lblAlgn val="ctr"/>
        <c:lblOffset val="100"/>
        <c:noMultiLvlLbl val="0"/>
      </c:catAx>
      <c:valAx>
        <c:axId val="11992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pt-BR"/>
                  <a:t>Milhões</a:t>
                </a:r>
                <a:r>
                  <a:rPr lang="pt-BR" baseline="0"/>
                  <a:t> de Reais (R$ mi)</a:t>
                </a:r>
                <a:endParaRPr lang="pt-B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crossAx val="1340672367"/>
        <c:crosses val="autoZero"/>
        <c:crossBetween val="between"/>
      </c:valAx>
      <c:spPr>
        <a:noFill/>
        <a:ln>
          <a:solidFill>
            <a:schemeClr val="bg1">
              <a:lumMod val="85000"/>
            </a:schemeClr>
          </a:solidFill>
        </a:ln>
        <a:effectLst/>
      </c:spPr>
    </c:plotArea>
    <c:legend>
      <c:legendPos val="b"/>
      <c:layout>
        <c:manualLayout>
          <c:xMode val="edge"/>
          <c:yMode val="edge"/>
          <c:x val="0.36467263749465717"/>
          <c:y val="0.92577612009025168"/>
          <c:w val="0.27065450637912242"/>
          <c:h val="7.42238799097481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14400" cy="239809"/>
    <xdr:sp macro="" textlink="">
      <xdr:nvSpPr>
        <xdr:cNvPr id="19" name="TextBox 3">
          <a:extLst>
            <a:ext uri="{FF2B5EF4-FFF2-40B4-BE49-F238E27FC236}">
              <a16:creationId xmlns:a16="http://schemas.microsoft.com/office/drawing/2014/main" id="{406F6C5F-22EB-4310-B0EA-0C9BEF2B4CAF}"/>
            </a:ext>
          </a:extLst>
        </xdr:cNvPr>
        <xdr:cNvSpPr txBox="1"/>
      </xdr:nvSpPr>
      <xdr:spPr>
        <a:xfrm>
          <a:off x="0" y="0"/>
          <a:ext cx="9144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t">
          <a:spAutoFit/>
        </a:bodyPr>
        <a:lstStyle/>
        <a:p>
          <a:r>
            <a:rPr lang="en-US" sz="1000">
              <a:latin typeface="Arial" panose="020B0604020202020204" pitchFamily="34" charset="0"/>
            </a:rPr>
            <a:t>2/29/2024</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8</xdr:col>
      <xdr:colOff>178113</xdr:colOff>
      <xdr:row>27</xdr:row>
      <xdr:rowOff>157554</xdr:rowOff>
    </xdr:from>
    <xdr:to>
      <xdr:col>15</xdr:col>
      <xdr:colOff>212240</xdr:colOff>
      <xdr:row>42</xdr:row>
      <xdr:rowOff>157554</xdr:rowOff>
    </xdr:to>
    <xdr:graphicFrame macro="">
      <xdr:nvGraphicFramePr>
        <xdr:cNvPr id="3" name="Gráfico 2">
          <a:extLst>
            <a:ext uri="{FF2B5EF4-FFF2-40B4-BE49-F238E27FC236}">
              <a16:creationId xmlns:a16="http://schemas.microsoft.com/office/drawing/2014/main" id="{E4D2049C-411A-44E5-A697-72C1DBF1A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199819</xdr:colOff>
      <xdr:row>27</xdr:row>
      <xdr:rowOff>119025</xdr:rowOff>
    </xdr:from>
    <xdr:to>
      <xdr:col>25</xdr:col>
      <xdr:colOff>160635</xdr:colOff>
      <xdr:row>43</xdr:row>
      <xdr:rowOff>119024</xdr:rowOff>
    </xdr:to>
    <xdr:graphicFrame macro="">
      <xdr:nvGraphicFramePr>
        <xdr:cNvPr id="5" name="Gráfico 4">
          <a:extLst>
            <a:ext uri="{FF2B5EF4-FFF2-40B4-BE49-F238E27FC236}">
              <a16:creationId xmlns:a16="http://schemas.microsoft.com/office/drawing/2014/main" id="{5FDBB5BA-8E9C-41A2-8483-BCA7B40F8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1070610</xdr:colOff>
      <xdr:row>61</xdr:row>
      <xdr:rowOff>0</xdr:rowOff>
    </xdr:from>
    <xdr:to>
      <xdr:col>5</xdr:col>
      <xdr:colOff>285750</xdr:colOff>
      <xdr:row>76</xdr:row>
      <xdr:rowOff>0</xdr:rowOff>
    </xdr:to>
    <xdr:graphicFrame macro="">
      <xdr:nvGraphicFramePr>
        <xdr:cNvPr id="6" name="Gráfico 5">
          <a:extLst>
            <a:ext uri="{FF2B5EF4-FFF2-40B4-BE49-F238E27FC236}">
              <a16:creationId xmlns:a16="http://schemas.microsoft.com/office/drawing/2014/main" id="{CD61F1CE-3CAC-4776-8D66-1255D7463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1389529</xdr:colOff>
      <xdr:row>89</xdr:row>
      <xdr:rowOff>59392</xdr:rowOff>
    </xdr:from>
    <xdr:to>
      <xdr:col>5</xdr:col>
      <xdr:colOff>580465</xdr:colOff>
      <xdr:row>104</xdr:row>
      <xdr:rowOff>59392</xdr:rowOff>
    </xdr:to>
    <xdr:graphicFrame macro="">
      <xdr:nvGraphicFramePr>
        <xdr:cNvPr id="7" name="Gráfico 6">
          <a:extLst>
            <a:ext uri="{FF2B5EF4-FFF2-40B4-BE49-F238E27FC236}">
              <a16:creationId xmlns:a16="http://schemas.microsoft.com/office/drawing/2014/main" id="{3D34071B-6BB6-46FA-87B7-AB1B21F31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642546</xdr:colOff>
      <xdr:row>89</xdr:row>
      <xdr:rowOff>117662</xdr:rowOff>
    </xdr:from>
    <xdr:to>
      <xdr:col>15</xdr:col>
      <xdr:colOff>92338</xdr:colOff>
      <xdr:row>104</xdr:row>
      <xdr:rowOff>117662</xdr:rowOff>
    </xdr:to>
    <xdr:graphicFrame macro="">
      <xdr:nvGraphicFramePr>
        <xdr:cNvPr id="9" name="Gráfico 8">
          <a:extLst>
            <a:ext uri="{FF2B5EF4-FFF2-40B4-BE49-F238E27FC236}">
              <a16:creationId xmlns:a16="http://schemas.microsoft.com/office/drawing/2014/main" id="{B699A971-E9CB-4D41-A122-B250C8A41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330238</xdr:colOff>
      <xdr:row>127</xdr:row>
      <xdr:rowOff>4370</xdr:rowOff>
    </xdr:from>
    <xdr:to>
      <xdr:col>12</xdr:col>
      <xdr:colOff>530936</xdr:colOff>
      <xdr:row>141</xdr:row>
      <xdr:rowOff>413273</xdr:rowOff>
    </xdr:to>
    <xdr:graphicFrame macro="">
      <xdr:nvGraphicFramePr>
        <xdr:cNvPr id="10" name="Gráfico 9">
          <a:extLst>
            <a:ext uri="{FF2B5EF4-FFF2-40B4-BE49-F238E27FC236}">
              <a16:creationId xmlns:a16="http://schemas.microsoft.com/office/drawing/2014/main" id="{1BE8A305-8CAD-4B51-922E-2ECCC5EEF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194534</xdr:colOff>
      <xdr:row>152</xdr:row>
      <xdr:rowOff>54013</xdr:rowOff>
    </xdr:from>
    <xdr:to>
      <xdr:col>15</xdr:col>
      <xdr:colOff>590886</xdr:colOff>
      <xdr:row>164</xdr:row>
      <xdr:rowOff>169658</xdr:rowOff>
    </xdr:to>
    <xdr:graphicFrame macro="">
      <xdr:nvGraphicFramePr>
        <xdr:cNvPr id="4" name="Gráfico 3">
          <a:extLst>
            <a:ext uri="{FF2B5EF4-FFF2-40B4-BE49-F238E27FC236}">
              <a16:creationId xmlns:a16="http://schemas.microsoft.com/office/drawing/2014/main" id="{D5ADD492-46FB-4D57-8298-BCBCE5C7A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186691</xdr:colOff>
      <xdr:row>188</xdr:row>
      <xdr:rowOff>62753</xdr:rowOff>
    </xdr:from>
    <xdr:to>
      <xdr:col>24</xdr:col>
      <xdr:colOff>490819</xdr:colOff>
      <xdr:row>208</xdr:row>
      <xdr:rowOff>114187</xdr:rowOff>
    </xdr:to>
    <xdr:graphicFrame macro="">
      <xdr:nvGraphicFramePr>
        <xdr:cNvPr id="8" name="Gráfico 7">
          <a:extLst>
            <a:ext uri="{FF2B5EF4-FFF2-40B4-BE49-F238E27FC236}">
              <a16:creationId xmlns:a16="http://schemas.microsoft.com/office/drawing/2014/main" id="{E9915C09-1E26-4F9A-89B1-4DDD6B08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422042</xdr:colOff>
      <xdr:row>206</xdr:row>
      <xdr:rowOff>48770</xdr:rowOff>
    </xdr:from>
    <xdr:to>
      <xdr:col>17</xdr:col>
      <xdr:colOff>383046</xdr:colOff>
      <xdr:row>222</xdr:row>
      <xdr:rowOff>46041</xdr:rowOff>
    </xdr:to>
    <xdr:graphicFrame macro="">
      <xdr:nvGraphicFramePr>
        <xdr:cNvPr id="2" name="Gráfico 1">
          <a:extLst>
            <a:ext uri="{FF2B5EF4-FFF2-40B4-BE49-F238E27FC236}">
              <a16:creationId xmlns:a16="http://schemas.microsoft.com/office/drawing/2014/main" id="{7508ACF3-82B1-4AE8-9D66-10AC59F96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418651</xdr:colOff>
      <xdr:row>149</xdr:row>
      <xdr:rowOff>151615</xdr:rowOff>
    </xdr:from>
    <xdr:to>
      <xdr:col>24</xdr:col>
      <xdr:colOff>124048</xdr:colOff>
      <xdr:row>166</xdr:row>
      <xdr:rowOff>97492</xdr:rowOff>
    </xdr:to>
    <xdr:graphicFrame macro="">
      <xdr:nvGraphicFramePr>
        <xdr:cNvPr id="11" name="Gráfico 10">
          <a:extLst>
            <a:ext uri="{FF2B5EF4-FFF2-40B4-BE49-F238E27FC236}">
              <a16:creationId xmlns:a16="http://schemas.microsoft.com/office/drawing/2014/main" id="{B361A78C-69F5-4CB5-B347-532E035B4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603257</xdr:colOff>
      <xdr:row>149</xdr:row>
      <xdr:rowOff>125788</xdr:rowOff>
    </xdr:from>
    <xdr:to>
      <xdr:col>33</xdr:col>
      <xdr:colOff>325881</xdr:colOff>
      <xdr:row>166</xdr:row>
      <xdr:rowOff>69759</xdr:rowOff>
    </xdr:to>
    <xdr:graphicFrame macro="">
      <xdr:nvGraphicFramePr>
        <xdr:cNvPr id="14" name="Gráfico 13">
          <a:extLst>
            <a:ext uri="{FF2B5EF4-FFF2-40B4-BE49-F238E27FC236}">
              <a16:creationId xmlns:a16="http://schemas.microsoft.com/office/drawing/2014/main" id="{4F9E75A0-AF5C-4007-B007-53E0459A8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432884</xdr:colOff>
      <xdr:row>149</xdr:row>
      <xdr:rowOff>163605</xdr:rowOff>
    </xdr:from>
    <xdr:to>
      <xdr:col>42</xdr:col>
      <xdr:colOff>152931</xdr:colOff>
      <xdr:row>166</xdr:row>
      <xdr:rowOff>107578</xdr:rowOff>
    </xdr:to>
    <xdr:graphicFrame macro="">
      <xdr:nvGraphicFramePr>
        <xdr:cNvPr id="15" name="Gráfico 14">
          <a:extLst>
            <a:ext uri="{FF2B5EF4-FFF2-40B4-BE49-F238E27FC236}">
              <a16:creationId xmlns:a16="http://schemas.microsoft.com/office/drawing/2014/main" id="{6D648B78-D02A-4C82-9D73-ED721B9C8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42</xdr:col>
      <xdr:colOff>97043</xdr:colOff>
      <xdr:row>148</xdr:row>
      <xdr:rowOff>7060</xdr:rowOff>
    </xdr:from>
    <xdr:to>
      <xdr:col>50</xdr:col>
      <xdr:colOff>424785</xdr:colOff>
      <xdr:row>164</xdr:row>
      <xdr:rowOff>130324</xdr:rowOff>
    </xdr:to>
    <xdr:graphicFrame macro="">
      <xdr:nvGraphicFramePr>
        <xdr:cNvPr id="16" name="Gráfico 15">
          <a:extLst>
            <a:ext uri="{FF2B5EF4-FFF2-40B4-BE49-F238E27FC236}">
              <a16:creationId xmlns:a16="http://schemas.microsoft.com/office/drawing/2014/main" id="{86264A33-96FC-4E84-B9A9-AF80985DA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197275</xdr:colOff>
      <xdr:row>188</xdr:row>
      <xdr:rowOff>109449</xdr:rowOff>
    </xdr:from>
    <xdr:to>
      <xdr:col>33</xdr:col>
      <xdr:colOff>391339</xdr:colOff>
      <xdr:row>203</xdr:row>
      <xdr:rowOff>127753</xdr:rowOff>
    </xdr:to>
    <xdr:graphicFrame macro="">
      <xdr:nvGraphicFramePr>
        <xdr:cNvPr id="13" name="Gráfico 12">
          <a:extLst>
            <a:ext uri="{FF2B5EF4-FFF2-40B4-BE49-F238E27FC236}">
              <a16:creationId xmlns:a16="http://schemas.microsoft.com/office/drawing/2014/main" id="{148915C9-3A21-427D-9683-6BE856791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26</xdr:col>
      <xdr:colOff>437030</xdr:colOff>
      <xdr:row>206</xdr:row>
      <xdr:rowOff>112059</xdr:rowOff>
    </xdr:from>
    <xdr:to>
      <xdr:col>39</xdr:col>
      <xdr:colOff>134135</xdr:colOff>
      <xdr:row>224</xdr:row>
      <xdr:rowOff>142986</xdr:rowOff>
    </xdr:to>
    <xdr:graphicFrame macro="">
      <xdr:nvGraphicFramePr>
        <xdr:cNvPr id="22" name="Gráfico 21">
          <a:extLst>
            <a:ext uri="{FF2B5EF4-FFF2-40B4-BE49-F238E27FC236}">
              <a16:creationId xmlns:a16="http://schemas.microsoft.com/office/drawing/2014/main" id="{D3AF9965-38B7-469F-9DF3-4F537F9B7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27</xdr:col>
      <xdr:colOff>13111</xdr:colOff>
      <xdr:row>226</xdr:row>
      <xdr:rowOff>223</xdr:rowOff>
    </xdr:from>
    <xdr:to>
      <xdr:col>39</xdr:col>
      <xdr:colOff>305808</xdr:colOff>
      <xdr:row>243</xdr:row>
      <xdr:rowOff>36418</xdr:rowOff>
    </xdr:to>
    <xdr:graphicFrame macro="">
      <xdr:nvGraphicFramePr>
        <xdr:cNvPr id="23" name="Gráfico 22">
          <a:extLst>
            <a:ext uri="{FF2B5EF4-FFF2-40B4-BE49-F238E27FC236}">
              <a16:creationId xmlns:a16="http://schemas.microsoft.com/office/drawing/2014/main" id="{2D4E700F-9C32-4F94-8A75-50083571D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2307178</xdr:colOff>
      <xdr:row>297</xdr:row>
      <xdr:rowOff>127074</xdr:rowOff>
    </xdr:from>
    <xdr:to>
      <xdr:col>11</xdr:col>
      <xdr:colOff>134470</xdr:colOff>
      <xdr:row>316</xdr:row>
      <xdr:rowOff>115869</xdr:rowOff>
    </xdr:to>
    <xdr:graphicFrame macro="">
      <xdr:nvGraphicFramePr>
        <xdr:cNvPr id="12" name="Gráfico 11">
          <a:extLst>
            <a:ext uri="{FF2B5EF4-FFF2-40B4-BE49-F238E27FC236}">
              <a16:creationId xmlns:a16="http://schemas.microsoft.com/office/drawing/2014/main" id="{CBBEF74B-1684-4EBC-B293-A94147709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2117912</xdr:colOff>
      <xdr:row>315</xdr:row>
      <xdr:rowOff>149488</xdr:rowOff>
    </xdr:from>
    <xdr:to>
      <xdr:col>12</xdr:col>
      <xdr:colOff>18601</xdr:colOff>
      <xdr:row>334</xdr:row>
      <xdr:rowOff>147581</xdr:rowOff>
    </xdr:to>
    <xdr:graphicFrame macro="">
      <xdr:nvGraphicFramePr>
        <xdr:cNvPr id="17" name="Gráfico 16">
          <a:extLst>
            <a:ext uri="{FF2B5EF4-FFF2-40B4-BE49-F238E27FC236}">
              <a16:creationId xmlns:a16="http://schemas.microsoft.com/office/drawing/2014/main" id="{4B85EE9E-B744-41B4-BA4E-F6103F87A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654423</xdr:colOff>
      <xdr:row>170</xdr:row>
      <xdr:rowOff>89647</xdr:rowOff>
    </xdr:from>
    <xdr:to>
      <xdr:col>13</xdr:col>
      <xdr:colOff>279138</xdr:colOff>
      <xdr:row>188</xdr:row>
      <xdr:rowOff>98278</xdr:rowOff>
    </xdr:to>
    <xdr:graphicFrame macro="">
      <xdr:nvGraphicFramePr>
        <xdr:cNvPr id="18" name="Gráfico 17">
          <a:extLst>
            <a:ext uri="{FF2B5EF4-FFF2-40B4-BE49-F238E27FC236}">
              <a16:creationId xmlns:a16="http://schemas.microsoft.com/office/drawing/2014/main" id="{9A305683-7CFF-4CDC-A4F0-BF7418EF2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14400" cy="239809"/>
    <xdr:sp macro="" textlink="">
      <xdr:nvSpPr>
        <xdr:cNvPr id="13" name="TextBox 3">
          <a:extLst>
            <a:ext uri="{FF2B5EF4-FFF2-40B4-BE49-F238E27FC236}">
              <a16:creationId xmlns:a16="http://schemas.microsoft.com/office/drawing/2014/main" id="{55C9C4EE-24C5-4E88-8748-0E5CCBB5E680}"/>
            </a:ext>
          </a:extLst>
        </xdr:cNvPr>
        <xdr:cNvSpPr txBox="1"/>
      </xdr:nvSpPr>
      <xdr:spPr>
        <a:xfrm>
          <a:off x="0" y="0"/>
          <a:ext cx="9144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t">
          <a:spAutoFit/>
        </a:bodyPr>
        <a:lstStyle/>
        <a:p>
          <a:r>
            <a:rPr lang="en-US" sz="1000">
              <a:latin typeface="Arial" panose="020B0604020202020204" pitchFamily="34" charset="0"/>
            </a:rPr>
            <a:t>2/29/2024</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914400" cy="239809"/>
    <xdr:sp macro="" textlink="">
      <xdr:nvSpPr>
        <xdr:cNvPr id="9" name="TextBox 3">
          <a:extLst>
            <a:ext uri="{FF2B5EF4-FFF2-40B4-BE49-F238E27FC236}">
              <a16:creationId xmlns:a16="http://schemas.microsoft.com/office/drawing/2014/main" id="{577E81F9-E72A-44FE-B086-C31E4BC94994}"/>
            </a:ext>
          </a:extLst>
        </xdr:cNvPr>
        <xdr:cNvSpPr txBox="1"/>
      </xdr:nvSpPr>
      <xdr:spPr>
        <a:xfrm>
          <a:off x="0" y="0"/>
          <a:ext cx="9144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t">
          <a:spAutoFit/>
        </a:bodyPr>
        <a:lstStyle/>
        <a:p>
          <a:r>
            <a:rPr lang="en-US" sz="1000">
              <a:latin typeface="Arial" panose="020B0604020202020204" pitchFamily="34" charset="0"/>
            </a:rPr>
            <a:t>2/29/2024</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914400" cy="239809"/>
    <xdr:sp macro="" textlink="">
      <xdr:nvSpPr>
        <xdr:cNvPr id="25" name="TextBox 3">
          <a:extLst>
            <a:ext uri="{FF2B5EF4-FFF2-40B4-BE49-F238E27FC236}">
              <a16:creationId xmlns:a16="http://schemas.microsoft.com/office/drawing/2014/main" id="{7AA7303E-2F3A-4CC3-B990-D7950D00BE7D}"/>
            </a:ext>
          </a:extLst>
        </xdr:cNvPr>
        <xdr:cNvSpPr txBox="1"/>
      </xdr:nvSpPr>
      <xdr:spPr>
        <a:xfrm>
          <a:off x="0" y="0"/>
          <a:ext cx="9144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t">
          <a:spAutoFit/>
        </a:bodyPr>
        <a:lstStyle/>
        <a:p>
          <a:r>
            <a:rPr lang="en-US" sz="1000">
              <a:latin typeface="Arial" panose="020B0604020202020204" pitchFamily="34" charset="0"/>
            </a:rPr>
            <a:t>2/29/2024</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914400" cy="239809"/>
    <xdr:sp macro="" textlink="">
      <xdr:nvSpPr>
        <xdr:cNvPr id="37" name="TextBox 3">
          <a:extLst>
            <a:ext uri="{FF2B5EF4-FFF2-40B4-BE49-F238E27FC236}">
              <a16:creationId xmlns:a16="http://schemas.microsoft.com/office/drawing/2014/main" id="{10BF7582-F499-43C8-A2C1-4C5AF91311C9}"/>
            </a:ext>
          </a:extLst>
        </xdr:cNvPr>
        <xdr:cNvSpPr txBox="1"/>
      </xdr:nvSpPr>
      <xdr:spPr>
        <a:xfrm>
          <a:off x="0" y="0"/>
          <a:ext cx="9144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t">
          <a:spAutoFit/>
        </a:bodyPr>
        <a:lstStyle/>
        <a:p>
          <a:r>
            <a:rPr lang="en-US" sz="1000">
              <a:latin typeface="Arial" panose="020B0604020202020204" pitchFamily="34" charset="0"/>
            </a:rPr>
            <a:t>2/29/2024</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914400" cy="239809"/>
    <xdr:sp macro="" textlink="">
      <xdr:nvSpPr>
        <xdr:cNvPr id="15" name="TextBox 3">
          <a:extLst>
            <a:ext uri="{FF2B5EF4-FFF2-40B4-BE49-F238E27FC236}">
              <a16:creationId xmlns:a16="http://schemas.microsoft.com/office/drawing/2014/main" id="{53F1713C-2D52-4710-9BFA-D1D86E636E27}"/>
            </a:ext>
          </a:extLst>
        </xdr:cNvPr>
        <xdr:cNvSpPr txBox="1"/>
      </xdr:nvSpPr>
      <xdr:spPr>
        <a:xfrm>
          <a:off x="0" y="0"/>
          <a:ext cx="9144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t">
          <a:spAutoFit/>
        </a:bodyPr>
        <a:lstStyle/>
        <a:p>
          <a:r>
            <a:rPr lang="en-US" sz="1000">
              <a:latin typeface="Arial" panose="020B0604020202020204" pitchFamily="34" charset="0"/>
            </a:rPr>
            <a:t>2/29/2024</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914400" cy="239809"/>
    <xdr:sp macro="" textlink="">
      <xdr:nvSpPr>
        <xdr:cNvPr id="16" name="TextBox 3">
          <a:extLst>
            <a:ext uri="{FF2B5EF4-FFF2-40B4-BE49-F238E27FC236}">
              <a16:creationId xmlns:a16="http://schemas.microsoft.com/office/drawing/2014/main" id="{2D5763A0-FCAE-4253-91D8-9A600DE5AFC3}"/>
            </a:ext>
          </a:extLst>
        </xdr:cNvPr>
        <xdr:cNvSpPr txBox="1"/>
      </xdr:nvSpPr>
      <xdr:spPr>
        <a:xfrm>
          <a:off x="0" y="0"/>
          <a:ext cx="9144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t">
          <a:spAutoFit/>
        </a:bodyPr>
        <a:lstStyle/>
        <a:p>
          <a:r>
            <a:rPr lang="en-US" sz="1000">
              <a:latin typeface="Arial" panose="020B0604020202020204" pitchFamily="34" charset="0"/>
            </a:rPr>
            <a:t>2/29/2024</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914400" cy="239809"/>
    <xdr:sp macro="" textlink="">
      <xdr:nvSpPr>
        <xdr:cNvPr id="3" name="TextBox 3">
          <a:extLst>
            <a:ext uri="{FF2B5EF4-FFF2-40B4-BE49-F238E27FC236}">
              <a16:creationId xmlns:a16="http://schemas.microsoft.com/office/drawing/2014/main" id="{82A792E7-87CE-414C-85F3-50C319F245CA}"/>
            </a:ext>
          </a:extLst>
        </xdr:cNvPr>
        <xdr:cNvSpPr txBox="1"/>
      </xdr:nvSpPr>
      <xdr:spPr>
        <a:xfrm>
          <a:off x="0" y="0"/>
          <a:ext cx="9144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t">
          <a:spAutoFit/>
        </a:bodyPr>
        <a:lstStyle/>
        <a:p>
          <a:r>
            <a:rPr lang="en-US" sz="1000">
              <a:latin typeface="Arial" panose="020B0604020202020204" pitchFamily="34" charset="0"/>
            </a:rPr>
            <a:t>2/292024</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914400" cy="239809"/>
    <xdr:sp macro="" textlink="">
      <xdr:nvSpPr>
        <xdr:cNvPr id="4" name="TextBox 3">
          <a:extLst>
            <a:ext uri="{FF2B5EF4-FFF2-40B4-BE49-F238E27FC236}">
              <a16:creationId xmlns:a16="http://schemas.microsoft.com/office/drawing/2014/main" id="{A7EB914C-7E2A-4FBC-9306-E9ABD4B4CCAD}"/>
            </a:ext>
          </a:extLst>
        </xdr:cNvPr>
        <xdr:cNvSpPr txBox="1"/>
      </xdr:nvSpPr>
      <xdr:spPr>
        <a:xfrm>
          <a:off x="0" y="0"/>
          <a:ext cx="91440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t">
          <a:spAutoFit/>
        </a:bodyPr>
        <a:lstStyle/>
        <a:p>
          <a:r>
            <a:rPr lang="en-US" sz="1000">
              <a:latin typeface="Arial" panose="020B0604020202020204" pitchFamily="34" charset="0"/>
            </a:rPr>
            <a:t>2/29/2024</a:t>
          </a:r>
        </a:p>
      </xdr:txBody>
    </xdr:sp>
    <xdr:clientData/>
  </xdr:oneCellAnchor>
</xdr:wsDr>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C7633-1B04-4A31-AD4D-57ADDC3C1195}">
  <dimension ref="A1"/>
  <sheetViews>
    <sheetView workbookViewId="0"/>
  </sheetViews>
  <sheetFormatPr defaultRowHeight="14.4" x14ac:dyDescent="0.3"/>
  <sheetData>
    <row r="1" spans="1:1" x14ac:dyDescent="0.3">
      <c r="A1" t="s">
        <v>104</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76B-27F1-4542-8116-449C2A8E8B09}">
  <sheetPr>
    <tabColor rgb="FF7030A0"/>
    <pageSetUpPr fitToPage="1"/>
  </sheetPr>
  <dimension ref="A1:AK69"/>
  <sheetViews>
    <sheetView showGridLines="0" zoomScaleNormal="100" zoomScaleSheetLayoutView="90" workbookViewId="0">
      <selection activeCell="I6" sqref="I6"/>
    </sheetView>
  </sheetViews>
  <sheetFormatPr defaultRowHeight="14.4" x14ac:dyDescent="0.3"/>
  <cols>
    <col min="1" max="1" width="6" bestFit="1" customWidth="1"/>
    <col min="2" max="2" width="1.6640625" customWidth="1"/>
    <col min="3" max="3" width="9.5546875" customWidth="1"/>
    <col min="4" max="4" width="1.6640625" customWidth="1"/>
    <col min="5" max="5" width="9.5546875" customWidth="1"/>
    <col min="6" max="6" width="1.6640625" customWidth="1"/>
    <col min="7" max="7" width="9.5546875" customWidth="1"/>
    <col min="8" max="8" width="1.6640625" customWidth="1"/>
    <col min="9" max="9" width="9.5546875" customWidth="1"/>
    <col min="10" max="10" width="1.6640625" customWidth="1"/>
    <col min="11" max="11" width="13.33203125" customWidth="1"/>
    <col min="12" max="12" width="1.6640625" customWidth="1"/>
    <col min="13" max="13" width="13.33203125" bestFit="1" customWidth="1"/>
    <col min="14" max="14" width="1.6640625" customWidth="1"/>
    <col min="15" max="15" width="14.5546875" customWidth="1"/>
    <col min="16" max="16" width="1.6640625" customWidth="1"/>
    <col min="17" max="17" width="14.5546875" customWidth="1"/>
    <col min="18" max="18" width="1.6640625" customWidth="1"/>
    <col min="19" max="19" width="14.5546875" customWidth="1"/>
    <col min="20" max="20" width="1.6640625" customWidth="1"/>
    <col min="21" max="21" width="14.5546875" customWidth="1"/>
    <col min="22" max="22" width="1.6640625" customWidth="1"/>
    <col min="23" max="23" width="14.5546875" customWidth="1"/>
    <col min="24" max="24" width="1.6640625" customWidth="1"/>
    <col min="25" max="25" width="14.5546875" bestFit="1" customWidth="1"/>
    <col min="26" max="26" width="1.6640625" customWidth="1"/>
    <col min="27" max="27" width="14.5546875" customWidth="1"/>
    <col min="28" max="28" width="1.6640625" customWidth="1"/>
    <col min="29" max="29" width="14.5546875" customWidth="1"/>
    <col min="30" max="30" width="1.6640625" customWidth="1"/>
    <col min="31" max="31" width="14.5546875" customWidth="1"/>
    <col min="32" max="32" width="2.109375" customWidth="1"/>
    <col min="37" max="37" width="12.88671875" bestFit="1" customWidth="1"/>
  </cols>
  <sheetData>
    <row r="1" spans="1:34" x14ac:dyDescent="0.3">
      <c r="A1" s="226" t="s">
        <v>54</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row>
    <row r="2" spans="1:34" x14ac:dyDescent="0.3">
      <c r="A2" s="226" t="s">
        <v>65</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spans="1:34" x14ac:dyDescent="0.3">
      <c r="A3" s="226" t="s">
        <v>24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row>
    <row r="4" spans="1:34" x14ac:dyDescent="0.3">
      <c r="A4" s="226" t="s">
        <v>718</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row>
    <row r="5" spans="1:34" x14ac:dyDescent="0.3">
      <c r="A5" s="226" t="s">
        <v>62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row>
    <row r="6" spans="1:34" x14ac:dyDescent="0.3">
      <c r="A6" s="226" t="s">
        <v>61</v>
      </c>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row>
    <row r="7" spans="1:34" x14ac:dyDescent="0.3">
      <c r="A7" s="226" t="s">
        <v>25</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spans="1:34" x14ac:dyDescent="0.3">
      <c r="A8" s="226" t="s">
        <v>26</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spans="1:34" x14ac:dyDescent="0.3">
      <c r="A9" s="226" t="s">
        <v>27</v>
      </c>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row>
    <row r="10" spans="1:34" x14ac:dyDescent="0.3">
      <c r="A10" s="226" t="s">
        <v>719</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row>
    <row r="11" spans="1:34" x14ac:dyDescent="0.3">
      <c r="A11" s="226" t="s">
        <v>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row>
    <row r="12" spans="1:34" x14ac:dyDescent="0.3">
      <c r="A12" s="226" t="s">
        <v>5</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row>
    <row r="13" spans="1:34" x14ac:dyDescent="0.3">
      <c r="A13" s="226" t="s">
        <v>5</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spans="1:34" x14ac:dyDescent="0.3">
      <c r="K14" s="227"/>
      <c r="L14" s="14"/>
      <c r="M14" s="14"/>
    </row>
    <row r="15" spans="1:34" x14ac:dyDescent="0.3">
      <c r="C15" s="227" t="s">
        <v>31</v>
      </c>
      <c r="D15" s="14"/>
      <c r="E15" s="14"/>
      <c r="G15" s="227" t="s">
        <v>37</v>
      </c>
      <c r="H15" s="14"/>
      <c r="I15" s="14"/>
      <c r="K15" s="227" t="s">
        <v>76</v>
      </c>
      <c r="L15" s="14"/>
      <c r="M15" s="14"/>
    </row>
    <row r="16" spans="1:34" x14ac:dyDescent="0.3">
      <c r="C16" s="228" t="s">
        <v>52</v>
      </c>
      <c r="D16" s="15"/>
      <c r="E16" s="15"/>
      <c r="G16" s="228" t="s">
        <v>52</v>
      </c>
      <c r="H16" s="15"/>
      <c r="I16" s="15"/>
      <c r="K16" s="228" t="s">
        <v>77</v>
      </c>
      <c r="L16" s="15"/>
      <c r="M16" s="15"/>
      <c r="O16" s="229" t="s">
        <v>28</v>
      </c>
      <c r="S16" s="229" t="s">
        <v>14</v>
      </c>
      <c r="AC16" s="229" t="s">
        <v>28</v>
      </c>
      <c r="AE16" s="229" t="s">
        <v>29</v>
      </c>
      <c r="AG16" s="9" t="s">
        <v>14</v>
      </c>
      <c r="AH16" s="9"/>
    </row>
    <row r="17" spans="1:37" x14ac:dyDescent="0.3">
      <c r="E17" s="229" t="s">
        <v>30</v>
      </c>
      <c r="I17" s="229" t="s">
        <v>30</v>
      </c>
      <c r="M17" s="229" t="s">
        <v>30</v>
      </c>
      <c r="O17" s="229" t="s">
        <v>31</v>
      </c>
      <c r="S17" s="229" t="s">
        <v>33</v>
      </c>
      <c r="U17" s="229" t="s">
        <v>34</v>
      </c>
      <c r="W17" s="229" t="s">
        <v>35</v>
      </c>
      <c r="Y17" s="229" t="s">
        <v>36</v>
      </c>
      <c r="AC17" s="229" t="s">
        <v>37</v>
      </c>
      <c r="AE17" s="229" t="s">
        <v>38</v>
      </c>
      <c r="AG17" s="9" t="s">
        <v>33</v>
      </c>
      <c r="AH17" s="9"/>
      <c r="AI17" s="229" t="s">
        <v>750</v>
      </c>
    </row>
    <row r="18" spans="1:37" x14ac:dyDescent="0.3">
      <c r="C18" s="229" t="s">
        <v>39</v>
      </c>
      <c r="E18" s="229" t="s">
        <v>40</v>
      </c>
      <c r="G18" s="229" t="s">
        <v>39</v>
      </c>
      <c r="I18" s="229" t="s">
        <v>40</v>
      </c>
      <c r="K18" s="229" t="s">
        <v>39</v>
      </c>
      <c r="M18" s="229" t="s">
        <v>40</v>
      </c>
      <c r="O18" s="229" t="s">
        <v>41</v>
      </c>
      <c r="Q18" s="229" t="s">
        <v>720</v>
      </c>
      <c r="S18" s="229" t="s">
        <v>32</v>
      </c>
      <c r="U18" s="229" t="s">
        <v>42</v>
      </c>
      <c r="W18" s="229" t="s">
        <v>43</v>
      </c>
      <c r="Y18" s="229" t="s">
        <v>78</v>
      </c>
      <c r="AA18" s="229" t="s">
        <v>44</v>
      </c>
      <c r="AC18" s="229" t="s">
        <v>41</v>
      </c>
      <c r="AE18" s="229" t="s">
        <v>45</v>
      </c>
      <c r="AG18" s="9" t="s">
        <v>32</v>
      </c>
      <c r="AH18" s="9" t="s">
        <v>44</v>
      </c>
      <c r="AI18" s="9" t="s">
        <v>751</v>
      </c>
    </row>
    <row r="19" spans="1:37" ht="16.8" x14ac:dyDescent="0.3">
      <c r="A19" s="230" t="s">
        <v>1</v>
      </c>
      <c r="C19" s="230" t="s">
        <v>723</v>
      </c>
      <c r="E19" s="230" t="s">
        <v>724</v>
      </c>
      <c r="G19" s="230" t="s">
        <v>723</v>
      </c>
      <c r="I19" s="230" t="s">
        <v>724</v>
      </c>
      <c r="K19" s="230" t="s">
        <v>46</v>
      </c>
      <c r="M19" s="230" t="s">
        <v>725</v>
      </c>
      <c r="O19" s="230" t="s">
        <v>728</v>
      </c>
      <c r="Q19" s="230" t="s">
        <v>728</v>
      </c>
      <c r="S19" s="230" t="s">
        <v>728</v>
      </c>
      <c r="U19" s="230" t="s">
        <v>728</v>
      </c>
      <c r="W19" s="230" t="s">
        <v>728</v>
      </c>
      <c r="Y19" s="230" t="s">
        <v>728</v>
      </c>
      <c r="AA19" s="230" t="s">
        <v>728</v>
      </c>
      <c r="AC19" s="230" t="s">
        <v>728</v>
      </c>
      <c r="AE19" s="230" t="s">
        <v>728</v>
      </c>
      <c r="AG19" s="10" t="s">
        <v>71</v>
      </c>
      <c r="AH19" s="10" t="s">
        <v>71</v>
      </c>
      <c r="AI19" s="10" t="s">
        <v>71</v>
      </c>
    </row>
    <row r="20" spans="1:37" x14ac:dyDescent="0.3">
      <c r="AG20" s="8"/>
      <c r="AH20" s="8"/>
      <c r="AI20" s="8"/>
    </row>
    <row r="21" spans="1:37" x14ac:dyDescent="0.3">
      <c r="A21" s="16">
        <v>2024</v>
      </c>
      <c r="C21" s="17">
        <v>13960</v>
      </c>
      <c r="E21" s="17">
        <v>3496</v>
      </c>
      <c r="G21" s="17">
        <v>12564</v>
      </c>
      <c r="I21" s="17">
        <v>3146</v>
      </c>
      <c r="K21" s="18">
        <v>60</v>
      </c>
      <c r="M21" s="18">
        <v>1.62</v>
      </c>
      <c r="O21" s="17">
        <v>758922</v>
      </c>
      <c r="Q21" s="17">
        <v>10399</v>
      </c>
      <c r="S21" s="17">
        <v>60043</v>
      </c>
      <c r="U21" s="17">
        <v>81900</v>
      </c>
      <c r="W21" s="17">
        <v>97555</v>
      </c>
      <c r="Y21" s="17">
        <v>11700</v>
      </c>
      <c r="AA21" s="17">
        <v>8454</v>
      </c>
      <c r="AC21" s="17">
        <v>509670</v>
      </c>
      <c r="AE21" s="17">
        <v>483103</v>
      </c>
      <c r="AG21" s="13">
        <f>IFERROR(S21/O21,0)</f>
        <v>7.9116167405873072E-2</v>
      </c>
      <c r="AH21" s="13">
        <f>IFERROR(AA21/O21,0)</f>
        <v>1.1139484690126258E-2</v>
      </c>
      <c r="AI21" s="13">
        <f>IFERROR(Q21/O21,0)</f>
        <v>1.3702330410766852E-2</v>
      </c>
      <c r="AK21" s="247"/>
    </row>
    <row r="22" spans="1:37" x14ac:dyDescent="0.3">
      <c r="A22" s="16">
        <v>2025</v>
      </c>
      <c r="C22" s="17">
        <v>22292</v>
      </c>
      <c r="E22" s="17">
        <v>8207</v>
      </c>
      <c r="G22" s="17">
        <v>20590</v>
      </c>
      <c r="I22" s="17">
        <v>7567</v>
      </c>
      <c r="K22" s="18">
        <v>60</v>
      </c>
      <c r="M22" s="18">
        <v>1.62</v>
      </c>
      <c r="O22" s="17">
        <v>1247657</v>
      </c>
      <c r="Q22" s="17">
        <v>23015</v>
      </c>
      <c r="S22" s="17">
        <v>79410</v>
      </c>
      <c r="U22" s="17">
        <v>84044</v>
      </c>
      <c r="W22" s="17">
        <v>264956</v>
      </c>
      <c r="Y22" s="17">
        <v>11700</v>
      </c>
      <c r="AA22" s="17">
        <v>40533</v>
      </c>
      <c r="AC22" s="17">
        <v>790029</v>
      </c>
      <c r="AE22" s="17">
        <v>677868</v>
      </c>
      <c r="AG22" s="13">
        <f t="shared" ref="AG22:AG57" si="0">IFERROR(S22/O22,0)</f>
        <v>6.3647300500057305E-2</v>
      </c>
      <c r="AH22" s="13">
        <f t="shared" ref="AH22:AH57" si="1">IFERROR(AA22/O22,0)</f>
        <v>3.2487294184218897E-2</v>
      </c>
      <c r="AI22" s="13">
        <f t="shared" ref="AI22:AI57" si="2">IFERROR(Q22/O22,0)</f>
        <v>1.8446576262546518E-2</v>
      </c>
      <c r="AJ22" s="247"/>
      <c r="AK22" s="247"/>
    </row>
    <row r="23" spans="1:37" x14ac:dyDescent="0.3">
      <c r="A23" s="16">
        <v>2026</v>
      </c>
      <c r="C23" s="17">
        <v>30249</v>
      </c>
      <c r="E23" s="17">
        <v>12333</v>
      </c>
      <c r="G23" s="17">
        <v>28194</v>
      </c>
      <c r="I23" s="17">
        <v>11482</v>
      </c>
      <c r="K23" s="18">
        <v>60</v>
      </c>
      <c r="M23" s="18">
        <v>1.62</v>
      </c>
      <c r="O23" s="17">
        <v>1710235</v>
      </c>
      <c r="Q23" s="17">
        <v>32577</v>
      </c>
      <c r="S23" s="17">
        <v>97336</v>
      </c>
      <c r="U23" s="17">
        <v>84825</v>
      </c>
      <c r="W23" s="17">
        <v>224312</v>
      </c>
      <c r="Y23" s="17">
        <v>23400</v>
      </c>
      <c r="AA23" s="17">
        <v>101221</v>
      </c>
      <c r="AC23" s="17">
        <v>1211717</v>
      </c>
      <c r="AE23" s="17">
        <v>941139</v>
      </c>
      <c r="AG23" s="13">
        <f t="shared" si="0"/>
        <v>5.6913815937575829E-2</v>
      </c>
      <c r="AH23" s="13">
        <f t="shared" si="1"/>
        <v>5.9185433580765216E-2</v>
      </c>
      <c r="AI23" s="13">
        <f t="shared" si="2"/>
        <v>1.9048259449724745E-2</v>
      </c>
      <c r="AK23" s="247"/>
    </row>
    <row r="24" spans="1:37" x14ac:dyDescent="0.3">
      <c r="A24" s="16">
        <v>2027</v>
      </c>
      <c r="C24" s="17">
        <v>38664</v>
      </c>
      <c r="E24" s="17">
        <v>16662</v>
      </c>
      <c r="G24" s="17">
        <v>35613</v>
      </c>
      <c r="I24" s="17">
        <v>15339</v>
      </c>
      <c r="K24" s="18">
        <v>60</v>
      </c>
      <c r="M24" s="18">
        <v>1.62</v>
      </c>
      <c r="O24" s="17">
        <v>2161633</v>
      </c>
      <c r="Q24" s="17">
        <v>43406</v>
      </c>
      <c r="S24" s="17">
        <v>115034</v>
      </c>
      <c r="U24" s="17">
        <v>83813</v>
      </c>
      <c r="W24" s="17">
        <v>274098</v>
      </c>
      <c r="Y24" s="17">
        <v>0</v>
      </c>
      <c r="AA24" s="17">
        <v>179653</v>
      </c>
      <c r="AC24" s="17">
        <v>1552441</v>
      </c>
      <c r="AE24" s="17">
        <v>1091485</v>
      </c>
      <c r="AG24" s="13">
        <f t="shared" si="0"/>
        <v>5.321624901174251E-2</v>
      </c>
      <c r="AH24" s="13">
        <f t="shared" si="1"/>
        <v>8.3109852597550091E-2</v>
      </c>
      <c r="AI24" s="13">
        <f t="shared" si="2"/>
        <v>2.0080189375347248E-2</v>
      </c>
      <c r="AK24" s="247"/>
    </row>
    <row r="25" spans="1:37" x14ac:dyDescent="0.3">
      <c r="A25" s="16">
        <v>2028</v>
      </c>
      <c r="C25" s="17">
        <v>41602</v>
      </c>
      <c r="E25" s="17">
        <v>17621</v>
      </c>
      <c r="G25" s="17">
        <v>38071</v>
      </c>
      <c r="I25" s="17">
        <v>16129</v>
      </c>
      <c r="K25" s="18">
        <v>60</v>
      </c>
      <c r="M25" s="18">
        <v>1.62</v>
      </c>
      <c r="O25" s="17">
        <v>2310400</v>
      </c>
      <c r="Q25" s="17">
        <v>43241</v>
      </c>
      <c r="S25" s="17">
        <v>119988</v>
      </c>
      <c r="U25" s="17">
        <v>83285</v>
      </c>
      <c r="W25" s="17">
        <v>215205</v>
      </c>
      <c r="Y25" s="17">
        <v>11700</v>
      </c>
      <c r="AA25" s="17">
        <v>206052</v>
      </c>
      <c r="AC25" s="17">
        <v>1717411</v>
      </c>
      <c r="AE25" s="17">
        <v>1093019</v>
      </c>
      <c r="AG25" s="13">
        <f t="shared" si="0"/>
        <v>5.1933864265927977E-2</v>
      </c>
      <c r="AH25" s="13">
        <f t="shared" si="1"/>
        <v>8.9184556786703603E-2</v>
      </c>
      <c r="AI25" s="13">
        <f t="shared" si="2"/>
        <v>1.87158067867036E-2</v>
      </c>
      <c r="AK25" s="247"/>
    </row>
    <row r="26" spans="1:37" ht="21.9" customHeight="1" x14ac:dyDescent="0.3">
      <c r="A26" s="16">
        <v>2029</v>
      </c>
      <c r="C26" s="17">
        <v>47042</v>
      </c>
      <c r="E26" s="17">
        <v>19211</v>
      </c>
      <c r="G26" s="17">
        <v>42829</v>
      </c>
      <c r="I26" s="17">
        <v>17503</v>
      </c>
      <c r="K26" s="18">
        <v>60</v>
      </c>
      <c r="M26" s="18">
        <v>1.62</v>
      </c>
      <c r="O26" s="17">
        <v>2598059</v>
      </c>
      <c r="Q26" s="17">
        <v>40519</v>
      </c>
      <c r="S26" s="17">
        <v>131020</v>
      </c>
      <c r="U26" s="17">
        <v>82848</v>
      </c>
      <c r="W26" s="17">
        <v>217742</v>
      </c>
      <c r="Y26" s="17">
        <v>11700</v>
      </c>
      <c r="AA26" s="17">
        <v>260350</v>
      </c>
      <c r="AC26" s="17">
        <v>1934917</v>
      </c>
      <c r="AE26" s="17">
        <v>1114722</v>
      </c>
      <c r="AG26" s="13">
        <f t="shared" si="0"/>
        <v>5.042995559377212E-2</v>
      </c>
      <c r="AH26" s="13">
        <f t="shared" si="1"/>
        <v>0.1002094255750158</v>
      </c>
      <c r="AI26" s="13">
        <f t="shared" si="2"/>
        <v>1.559587368878074E-2</v>
      </c>
      <c r="AK26" s="247"/>
    </row>
    <row r="27" spans="1:37" x14ac:dyDescent="0.3">
      <c r="A27" s="16">
        <v>2030</v>
      </c>
      <c r="C27" s="17">
        <v>44879</v>
      </c>
      <c r="E27" s="17">
        <v>17855</v>
      </c>
      <c r="G27" s="17">
        <v>40773</v>
      </c>
      <c r="I27" s="17">
        <v>16232</v>
      </c>
      <c r="K27" s="18">
        <v>60</v>
      </c>
      <c r="M27" s="18">
        <v>1.62</v>
      </c>
      <c r="O27" s="17">
        <v>2472689</v>
      </c>
      <c r="Q27" s="17">
        <v>36271</v>
      </c>
      <c r="S27" s="17">
        <v>124495</v>
      </c>
      <c r="U27" s="17">
        <v>82671</v>
      </c>
      <c r="W27" s="17">
        <v>18000</v>
      </c>
      <c r="Y27" s="17">
        <v>0</v>
      </c>
      <c r="AA27" s="17">
        <v>232205</v>
      </c>
      <c r="AC27" s="17">
        <v>2051590</v>
      </c>
      <c r="AE27" s="17">
        <v>1069904</v>
      </c>
      <c r="AG27" s="13">
        <f t="shared" si="0"/>
        <v>5.0348021930780619E-2</v>
      </c>
      <c r="AH27" s="13">
        <f t="shared" si="1"/>
        <v>9.3907887324285427E-2</v>
      </c>
      <c r="AI27" s="13">
        <f t="shared" si="2"/>
        <v>1.4668646158089433E-2</v>
      </c>
      <c r="AK27" s="247"/>
    </row>
    <row r="28" spans="1:37" x14ac:dyDescent="0.3">
      <c r="A28" s="16">
        <v>2031</v>
      </c>
      <c r="C28" s="17">
        <v>38143</v>
      </c>
      <c r="E28" s="17">
        <v>14574</v>
      </c>
      <c r="G28" s="17">
        <v>34623</v>
      </c>
      <c r="I28" s="17">
        <v>13236</v>
      </c>
      <c r="K28" s="18">
        <v>60</v>
      </c>
      <c r="M28" s="18">
        <v>1.62</v>
      </c>
      <c r="O28" s="17">
        <v>2098852</v>
      </c>
      <c r="Q28" s="17">
        <v>30544</v>
      </c>
      <c r="S28" s="17">
        <v>107554</v>
      </c>
      <c r="U28" s="17">
        <v>82605</v>
      </c>
      <c r="W28" s="17">
        <v>18000</v>
      </c>
      <c r="Y28" s="17">
        <v>0</v>
      </c>
      <c r="AA28" s="17">
        <v>159244</v>
      </c>
      <c r="AC28" s="17">
        <v>1761992</v>
      </c>
      <c r="AE28" s="17">
        <v>831781</v>
      </c>
      <c r="AG28" s="13">
        <f t="shared" si="0"/>
        <v>5.1244203974363127E-2</v>
      </c>
      <c r="AH28" s="13">
        <f t="shared" si="1"/>
        <v>7.5871952858038591E-2</v>
      </c>
      <c r="AI28" s="13">
        <f t="shared" si="2"/>
        <v>1.4552717390268585E-2</v>
      </c>
      <c r="AK28" s="247"/>
    </row>
    <row r="29" spans="1:37" x14ac:dyDescent="0.3">
      <c r="A29" s="16">
        <v>2032</v>
      </c>
      <c r="C29" s="17">
        <v>32670</v>
      </c>
      <c r="E29" s="17">
        <v>11909</v>
      </c>
      <c r="G29" s="17">
        <v>29636</v>
      </c>
      <c r="I29" s="17">
        <v>10807</v>
      </c>
      <c r="K29" s="18">
        <v>60</v>
      </c>
      <c r="M29" s="18">
        <v>1.62</v>
      </c>
      <c r="O29" s="17">
        <v>1795613</v>
      </c>
      <c r="Q29" s="17">
        <v>26008</v>
      </c>
      <c r="S29" s="17">
        <v>93706</v>
      </c>
      <c r="U29" s="17">
        <v>82541</v>
      </c>
      <c r="W29" s="17">
        <v>18000</v>
      </c>
      <c r="Y29" s="17">
        <v>0</v>
      </c>
      <c r="AA29" s="17">
        <v>106201</v>
      </c>
      <c r="AC29" s="17">
        <v>1521174</v>
      </c>
      <c r="AE29" s="17">
        <v>650031</v>
      </c>
      <c r="AG29" s="13">
        <f t="shared" si="0"/>
        <v>5.2186077957778208E-2</v>
      </c>
      <c r="AH29" s="13">
        <f t="shared" si="1"/>
        <v>5.9144704343307826E-2</v>
      </c>
      <c r="AI29" s="13">
        <f t="shared" si="2"/>
        <v>1.4484190078819879E-2</v>
      </c>
      <c r="AK29" s="247"/>
    </row>
    <row r="30" spans="1:37" x14ac:dyDescent="0.3">
      <c r="A30" s="16">
        <v>2033</v>
      </c>
      <c r="C30" s="17">
        <v>27974</v>
      </c>
      <c r="E30" s="17">
        <v>9609</v>
      </c>
      <c r="G30" s="17">
        <v>25350</v>
      </c>
      <c r="I30" s="17">
        <v>8712</v>
      </c>
      <c r="K30" s="18">
        <v>60</v>
      </c>
      <c r="M30" s="18">
        <v>1.62</v>
      </c>
      <c r="O30" s="17">
        <v>1535121</v>
      </c>
      <c r="Q30" s="17">
        <v>22195</v>
      </c>
      <c r="S30" s="17">
        <v>131289</v>
      </c>
      <c r="U30" s="17">
        <v>82480</v>
      </c>
      <c r="W30" s="17">
        <v>18000</v>
      </c>
      <c r="Y30" s="17">
        <v>0</v>
      </c>
      <c r="AA30" s="17">
        <v>69043</v>
      </c>
      <c r="AC30" s="17">
        <v>1256505</v>
      </c>
      <c r="AE30" s="17">
        <v>486038</v>
      </c>
      <c r="AG30" s="13">
        <f t="shared" si="0"/>
        <v>8.5523551563687808E-2</v>
      </c>
      <c r="AH30" s="13">
        <f t="shared" si="1"/>
        <v>4.4975607785966057E-2</v>
      </c>
      <c r="AI30" s="13">
        <f t="shared" si="2"/>
        <v>1.4458143690301937E-2</v>
      </c>
      <c r="AK30" s="247"/>
    </row>
    <row r="31" spans="1:37" ht="21.9" customHeight="1" x14ac:dyDescent="0.3">
      <c r="A31" s="16">
        <v>2034</v>
      </c>
      <c r="C31" s="17">
        <v>24135</v>
      </c>
      <c r="E31" s="17">
        <v>7732</v>
      </c>
      <c r="G31" s="17">
        <v>21862</v>
      </c>
      <c r="I31" s="17">
        <v>7005</v>
      </c>
      <c r="K31" s="18">
        <v>60</v>
      </c>
      <c r="M31" s="18">
        <v>1.62</v>
      </c>
      <c r="O31" s="17">
        <v>1323075</v>
      </c>
      <c r="Q31" s="17">
        <v>19145</v>
      </c>
      <c r="S31" s="17">
        <v>113239</v>
      </c>
      <c r="U31" s="17">
        <v>82422</v>
      </c>
      <c r="W31" s="17">
        <v>18000</v>
      </c>
      <c r="Y31" s="17">
        <v>0</v>
      </c>
      <c r="AA31" s="17">
        <v>43924</v>
      </c>
      <c r="AC31" s="17">
        <v>1084634</v>
      </c>
      <c r="AE31" s="17">
        <v>379787</v>
      </c>
      <c r="AG31" s="13">
        <f t="shared" si="0"/>
        <v>8.5587740679855639E-2</v>
      </c>
      <c r="AH31" s="13">
        <f t="shared" si="1"/>
        <v>3.3198420346541205E-2</v>
      </c>
      <c r="AI31" s="13">
        <f t="shared" si="2"/>
        <v>1.4470079171626703E-2</v>
      </c>
    </row>
    <row r="32" spans="1:37" x14ac:dyDescent="0.3">
      <c r="A32" s="16">
        <v>2035</v>
      </c>
      <c r="C32" s="17">
        <v>20983</v>
      </c>
      <c r="E32" s="17">
        <v>6184</v>
      </c>
      <c r="G32" s="17">
        <v>18992</v>
      </c>
      <c r="I32" s="17">
        <v>5598</v>
      </c>
      <c r="K32" s="18">
        <v>60</v>
      </c>
      <c r="M32" s="18">
        <v>1.62</v>
      </c>
      <c r="O32" s="17">
        <v>1148611</v>
      </c>
      <c r="Q32" s="17">
        <v>16678</v>
      </c>
      <c r="S32" s="17">
        <v>98388</v>
      </c>
      <c r="U32" s="17">
        <v>82366</v>
      </c>
      <c r="W32" s="17">
        <v>18000</v>
      </c>
      <c r="Y32" s="17">
        <v>0</v>
      </c>
      <c r="AA32" s="17">
        <v>29331</v>
      </c>
      <c r="AC32" s="17">
        <v>937204</v>
      </c>
      <c r="AE32" s="17">
        <v>297058</v>
      </c>
      <c r="AG32" s="13">
        <f t="shared" si="0"/>
        <v>8.5658242868995677E-2</v>
      </c>
      <c r="AH32" s="13">
        <f t="shared" si="1"/>
        <v>2.5536060511348053E-2</v>
      </c>
      <c r="AI32" s="13">
        <f t="shared" si="2"/>
        <v>1.452014650739023E-2</v>
      </c>
    </row>
    <row r="33" spans="1:35" x14ac:dyDescent="0.3">
      <c r="A33" s="16">
        <v>2036</v>
      </c>
      <c r="C33" s="17">
        <v>18211</v>
      </c>
      <c r="E33" s="17">
        <v>4803</v>
      </c>
      <c r="G33" s="17">
        <v>16467</v>
      </c>
      <c r="I33" s="17">
        <v>4343</v>
      </c>
      <c r="K33" s="18">
        <v>60</v>
      </c>
      <c r="M33" s="18">
        <v>1.62</v>
      </c>
      <c r="O33" s="17">
        <v>995011</v>
      </c>
      <c r="Q33" s="17">
        <v>14268</v>
      </c>
      <c r="S33" s="17">
        <v>85312</v>
      </c>
      <c r="U33" s="17">
        <v>82270</v>
      </c>
      <c r="W33" s="17">
        <v>18000</v>
      </c>
      <c r="Y33" s="17">
        <v>0</v>
      </c>
      <c r="AA33" s="17">
        <v>20345</v>
      </c>
      <c r="AC33" s="17">
        <v>803351</v>
      </c>
      <c r="AE33" s="17">
        <v>230496</v>
      </c>
      <c r="AG33" s="13">
        <f t="shared" si="0"/>
        <v>8.5739755640892409E-2</v>
      </c>
      <c r="AH33" s="13">
        <f t="shared" si="1"/>
        <v>2.0447010133556313E-2</v>
      </c>
      <c r="AI33" s="13">
        <f t="shared" si="2"/>
        <v>1.4339539964884811E-2</v>
      </c>
    </row>
    <row r="34" spans="1:35" x14ac:dyDescent="0.3">
      <c r="A34" s="16">
        <v>2037</v>
      </c>
      <c r="C34" s="17">
        <v>15863</v>
      </c>
      <c r="E34" s="17">
        <v>3627</v>
      </c>
      <c r="G34" s="17">
        <v>14318</v>
      </c>
      <c r="I34" s="17">
        <v>3275</v>
      </c>
      <c r="K34" s="18">
        <v>60</v>
      </c>
      <c r="M34" s="18">
        <v>1.62</v>
      </c>
      <c r="O34" s="17">
        <v>864405</v>
      </c>
      <c r="Q34" s="17">
        <v>12331</v>
      </c>
      <c r="S34" s="17">
        <v>74195</v>
      </c>
      <c r="U34" s="17">
        <v>82153</v>
      </c>
      <c r="W34" s="17">
        <v>18000</v>
      </c>
      <c r="Y34" s="17">
        <v>0</v>
      </c>
      <c r="AA34" s="17">
        <v>12931</v>
      </c>
      <c r="AC34" s="17">
        <v>689457</v>
      </c>
      <c r="AE34" s="17">
        <v>179067</v>
      </c>
      <c r="AG34" s="13">
        <f t="shared" si="0"/>
        <v>8.5833608088800972E-2</v>
      </c>
      <c r="AH34" s="13">
        <f t="shared" si="1"/>
        <v>1.4959422955674713E-2</v>
      </c>
      <c r="AI34" s="13">
        <f t="shared" si="2"/>
        <v>1.4265303879547202E-2</v>
      </c>
    </row>
    <row r="35" spans="1:35" x14ac:dyDescent="0.3">
      <c r="A35" s="16">
        <v>2038</v>
      </c>
      <c r="C35" s="17">
        <v>13790</v>
      </c>
      <c r="E35" s="17">
        <v>2585</v>
      </c>
      <c r="G35" s="17">
        <v>12424</v>
      </c>
      <c r="I35" s="17">
        <v>2329</v>
      </c>
      <c r="K35" s="18">
        <v>60</v>
      </c>
      <c r="M35" s="18">
        <v>1.62</v>
      </c>
      <c r="O35" s="17">
        <v>749198</v>
      </c>
      <c r="Q35" s="17">
        <v>10691</v>
      </c>
      <c r="S35" s="17">
        <v>64388</v>
      </c>
      <c r="U35" s="17">
        <v>81997</v>
      </c>
      <c r="W35" s="17">
        <v>18000</v>
      </c>
      <c r="Y35" s="17">
        <v>0</v>
      </c>
      <c r="AA35" s="17">
        <v>6652</v>
      </c>
      <c r="AC35" s="17">
        <v>588852</v>
      </c>
      <c r="AE35" s="17">
        <v>138441</v>
      </c>
      <c r="AG35" s="13">
        <f t="shared" si="0"/>
        <v>8.5942567919295026E-2</v>
      </c>
      <c r="AH35" s="13">
        <f t="shared" si="1"/>
        <v>8.8788277598178325E-3</v>
      </c>
      <c r="AI35" s="13">
        <f t="shared" si="2"/>
        <v>1.4269925974175051E-2</v>
      </c>
    </row>
    <row r="36" spans="1:35" ht="21.9" customHeight="1" x14ac:dyDescent="0.3">
      <c r="A36" s="16">
        <v>2039</v>
      </c>
      <c r="C36" s="17">
        <v>12112</v>
      </c>
      <c r="E36" s="17">
        <v>1745</v>
      </c>
      <c r="G36" s="17">
        <v>10902</v>
      </c>
      <c r="I36" s="17">
        <v>1571</v>
      </c>
      <c r="K36" s="18">
        <v>60</v>
      </c>
      <c r="M36" s="18">
        <v>1.62</v>
      </c>
      <c r="O36" s="17">
        <v>656671</v>
      </c>
      <c r="Q36" s="17">
        <v>9427</v>
      </c>
      <c r="S36" s="17">
        <v>56512</v>
      </c>
      <c r="U36" s="17">
        <v>81900</v>
      </c>
      <c r="W36" s="17">
        <v>18000</v>
      </c>
      <c r="Y36" s="17">
        <v>0</v>
      </c>
      <c r="AA36" s="17">
        <v>1869</v>
      </c>
      <c r="AC36" s="17">
        <v>507817</v>
      </c>
      <c r="AE36" s="17">
        <v>108072</v>
      </c>
      <c r="AG36" s="13">
        <f t="shared" si="0"/>
        <v>8.6058315351218495E-2</v>
      </c>
      <c r="AH36" s="13">
        <f t="shared" si="1"/>
        <v>2.8461741115413958E-3</v>
      </c>
      <c r="AI36" s="13">
        <f t="shared" si="2"/>
        <v>1.4355742830123456E-2</v>
      </c>
    </row>
    <row r="37" spans="1:35" x14ac:dyDescent="0.3">
      <c r="A37" s="16">
        <v>2040</v>
      </c>
      <c r="C37" s="17">
        <v>10880</v>
      </c>
      <c r="E37" s="17">
        <v>1128</v>
      </c>
      <c r="G37" s="17">
        <v>9788</v>
      </c>
      <c r="I37" s="17">
        <v>1015</v>
      </c>
      <c r="K37" s="18">
        <v>60</v>
      </c>
      <c r="M37" s="18">
        <v>1.62</v>
      </c>
      <c r="O37" s="17">
        <v>588926</v>
      </c>
      <c r="Q37" s="17">
        <v>8587</v>
      </c>
      <c r="S37" s="17">
        <v>50744</v>
      </c>
      <c r="U37" s="17">
        <v>81900</v>
      </c>
      <c r="W37" s="17">
        <v>18000</v>
      </c>
      <c r="Y37" s="17">
        <v>0</v>
      </c>
      <c r="AA37" s="17">
        <v>0</v>
      </c>
      <c r="AC37" s="17">
        <v>446869</v>
      </c>
      <c r="AE37" s="17">
        <v>86088</v>
      </c>
      <c r="AG37" s="13">
        <f t="shared" si="0"/>
        <v>8.6163626669564591E-2</v>
      </c>
      <c r="AH37" s="13">
        <f t="shared" si="1"/>
        <v>0</v>
      </c>
      <c r="AI37" s="13">
        <f t="shared" si="2"/>
        <v>1.4580779249005818E-2</v>
      </c>
    </row>
    <row r="38" spans="1:35" x14ac:dyDescent="0.3">
      <c r="A38" s="16">
        <v>2041</v>
      </c>
      <c r="C38" s="17">
        <v>9827</v>
      </c>
      <c r="E38" s="17">
        <v>606</v>
      </c>
      <c r="G38" s="17">
        <v>8850</v>
      </c>
      <c r="I38" s="17">
        <v>546</v>
      </c>
      <c r="K38" s="18">
        <v>60</v>
      </c>
      <c r="M38" s="18">
        <v>1.62</v>
      </c>
      <c r="O38" s="17">
        <v>531910</v>
      </c>
      <c r="Q38" s="17">
        <v>7886</v>
      </c>
      <c r="S38" s="17">
        <v>45892</v>
      </c>
      <c r="U38" s="17">
        <v>81900</v>
      </c>
      <c r="W38" s="17">
        <v>18000</v>
      </c>
      <c r="Y38" s="17">
        <v>0</v>
      </c>
      <c r="AA38" s="17">
        <v>0</v>
      </c>
      <c r="AC38" s="17">
        <v>394005</v>
      </c>
      <c r="AE38" s="17">
        <v>68708</v>
      </c>
      <c r="AG38" s="13">
        <f t="shared" si="0"/>
        <v>8.6277753755334544E-2</v>
      </c>
      <c r="AH38" s="13">
        <f t="shared" si="1"/>
        <v>0</v>
      </c>
      <c r="AI38" s="13">
        <f t="shared" si="2"/>
        <v>1.4825816397510858E-2</v>
      </c>
    </row>
    <row r="39" spans="1:35" x14ac:dyDescent="0.3">
      <c r="A39" s="16">
        <v>2042</v>
      </c>
      <c r="C39" s="17">
        <v>8867</v>
      </c>
      <c r="E39" s="17">
        <v>114</v>
      </c>
      <c r="G39" s="17">
        <v>7980</v>
      </c>
      <c r="I39" s="17">
        <v>102</v>
      </c>
      <c r="K39" s="18">
        <v>60</v>
      </c>
      <c r="M39" s="18">
        <v>1.61</v>
      </c>
      <c r="O39" s="17">
        <v>478927</v>
      </c>
      <c r="Q39" s="17">
        <v>7197</v>
      </c>
      <c r="S39" s="17">
        <v>41380</v>
      </c>
      <c r="U39" s="17">
        <v>81900</v>
      </c>
      <c r="W39" s="17">
        <v>18000</v>
      </c>
      <c r="Y39" s="17">
        <v>0</v>
      </c>
      <c r="AA39" s="17">
        <v>0</v>
      </c>
      <c r="AC39" s="17">
        <v>344843</v>
      </c>
      <c r="AE39" s="17">
        <v>54436</v>
      </c>
      <c r="AG39" s="13">
        <f t="shared" si="0"/>
        <v>8.6401476634226093E-2</v>
      </c>
      <c r="AH39" s="13">
        <f t="shared" si="1"/>
        <v>0</v>
      </c>
      <c r="AI39" s="13">
        <f t="shared" si="2"/>
        <v>1.5027342371593165E-2</v>
      </c>
    </row>
    <row r="40" spans="1:35" x14ac:dyDescent="0.3">
      <c r="A40" s="16">
        <v>2043</v>
      </c>
      <c r="C40" s="17">
        <v>7806</v>
      </c>
      <c r="E40" s="17">
        <v>0</v>
      </c>
      <c r="G40" s="17">
        <v>7025</v>
      </c>
      <c r="I40" s="17">
        <v>0</v>
      </c>
      <c r="K40" s="18">
        <v>60</v>
      </c>
      <c r="M40" s="18">
        <v>1.62</v>
      </c>
      <c r="O40" s="17">
        <v>421538</v>
      </c>
      <c r="Q40" s="17">
        <v>6374</v>
      </c>
      <c r="S40" s="17">
        <v>36441</v>
      </c>
      <c r="U40" s="17">
        <v>81900</v>
      </c>
      <c r="W40" s="17">
        <v>18000</v>
      </c>
      <c r="Y40" s="17">
        <v>0</v>
      </c>
      <c r="AA40" s="17">
        <v>0</v>
      </c>
      <c r="AC40" s="17">
        <v>291571</v>
      </c>
      <c r="AE40" s="17">
        <v>41663</v>
      </c>
      <c r="AG40" s="13">
        <f t="shared" si="0"/>
        <v>8.6447722388017206E-2</v>
      </c>
      <c r="AH40" s="13">
        <f t="shared" si="1"/>
        <v>0</v>
      </c>
      <c r="AI40" s="13">
        <f t="shared" si="2"/>
        <v>1.512081947534979E-2</v>
      </c>
    </row>
    <row r="41" spans="1:35" ht="21.9" customHeight="1" x14ac:dyDescent="0.3">
      <c r="A41" s="16">
        <v>2044</v>
      </c>
      <c r="C41" s="17">
        <v>6824</v>
      </c>
      <c r="E41" s="17">
        <v>0</v>
      </c>
      <c r="G41" s="17">
        <v>6141</v>
      </c>
      <c r="I41" s="17">
        <v>0</v>
      </c>
      <c r="K41" s="18">
        <v>60</v>
      </c>
      <c r="M41" s="18">
        <v>1.62</v>
      </c>
      <c r="O41" s="17">
        <v>368443</v>
      </c>
      <c r="Q41" s="17">
        <v>5584</v>
      </c>
      <c r="S41" s="17">
        <v>31856</v>
      </c>
      <c r="U41" s="17">
        <v>81900</v>
      </c>
      <c r="W41" s="17">
        <v>18000</v>
      </c>
      <c r="Y41" s="17">
        <v>0</v>
      </c>
      <c r="AA41" s="17">
        <v>0</v>
      </c>
      <c r="AC41" s="17">
        <v>242272</v>
      </c>
      <c r="AE41" s="17">
        <v>31338</v>
      </c>
      <c r="AG41" s="13">
        <f t="shared" si="0"/>
        <v>8.6461135100951839E-2</v>
      </c>
      <c r="AH41" s="13">
        <f t="shared" si="1"/>
        <v>0</v>
      </c>
      <c r="AI41" s="13">
        <f t="shared" si="2"/>
        <v>1.515566858374294E-2</v>
      </c>
    </row>
    <row r="42" spans="1:35" x14ac:dyDescent="0.3">
      <c r="A42" s="16">
        <v>2045</v>
      </c>
      <c r="C42" s="17">
        <v>6261</v>
      </c>
      <c r="E42" s="17">
        <v>0</v>
      </c>
      <c r="G42" s="17">
        <v>5632</v>
      </c>
      <c r="I42" s="17">
        <v>0</v>
      </c>
      <c r="K42" s="18">
        <v>60</v>
      </c>
      <c r="M42" s="18">
        <v>1.62</v>
      </c>
      <c r="O42" s="17">
        <v>337914</v>
      </c>
      <c r="Q42" s="17">
        <v>5180</v>
      </c>
      <c r="S42" s="17">
        <v>29221</v>
      </c>
      <c r="U42" s="17">
        <v>81900</v>
      </c>
      <c r="W42" s="17">
        <v>18000</v>
      </c>
      <c r="Y42" s="17">
        <v>0</v>
      </c>
      <c r="AA42" s="17">
        <v>0</v>
      </c>
      <c r="AC42" s="17">
        <v>213973</v>
      </c>
      <c r="AE42" s="17">
        <v>25054</v>
      </c>
      <c r="AG42" s="13">
        <f t="shared" si="0"/>
        <v>8.6474665151488245E-2</v>
      </c>
      <c r="AH42" s="13">
        <f t="shared" si="1"/>
        <v>0</v>
      </c>
      <c r="AI42" s="13">
        <f t="shared" si="2"/>
        <v>1.5329344152654226E-2</v>
      </c>
    </row>
    <row r="43" spans="1:35" x14ac:dyDescent="0.3">
      <c r="A43" s="16">
        <v>2046</v>
      </c>
      <c r="C43" s="17">
        <v>5567</v>
      </c>
      <c r="E43" s="17">
        <v>0</v>
      </c>
      <c r="G43" s="17">
        <v>5010</v>
      </c>
      <c r="I43" s="17">
        <v>0</v>
      </c>
      <c r="K43" s="18">
        <v>60</v>
      </c>
      <c r="M43" s="18">
        <v>1.62</v>
      </c>
      <c r="O43" s="17">
        <v>300595</v>
      </c>
      <c r="Q43" s="17">
        <v>4674</v>
      </c>
      <c r="S43" s="17">
        <v>26000</v>
      </c>
      <c r="U43" s="17">
        <v>81900</v>
      </c>
      <c r="W43" s="17">
        <v>18000</v>
      </c>
      <c r="Y43" s="17">
        <v>0</v>
      </c>
      <c r="AA43" s="17">
        <v>0</v>
      </c>
      <c r="AC43" s="17">
        <v>179369</v>
      </c>
      <c r="AE43" s="17">
        <v>19011</v>
      </c>
      <c r="AG43" s="13">
        <f t="shared" si="0"/>
        <v>8.6495118015935069E-2</v>
      </c>
      <c r="AH43" s="13">
        <f t="shared" si="1"/>
        <v>0</v>
      </c>
      <c r="AI43" s="13">
        <f t="shared" si="2"/>
        <v>1.5549160831018481E-2</v>
      </c>
    </row>
    <row r="44" spans="1:35" x14ac:dyDescent="0.3">
      <c r="A44" s="16">
        <v>2047</v>
      </c>
      <c r="C44" s="17">
        <v>5177</v>
      </c>
      <c r="E44" s="17">
        <v>0</v>
      </c>
      <c r="G44" s="17">
        <v>4661</v>
      </c>
      <c r="I44" s="17">
        <v>0</v>
      </c>
      <c r="K44" s="18">
        <v>60</v>
      </c>
      <c r="M44" s="18">
        <v>1.62</v>
      </c>
      <c r="O44" s="17">
        <v>279644</v>
      </c>
      <c r="Q44" s="17">
        <v>4405</v>
      </c>
      <c r="S44" s="17">
        <v>24191</v>
      </c>
      <c r="U44" s="17">
        <v>81900</v>
      </c>
      <c r="W44" s="17">
        <v>18000</v>
      </c>
      <c r="Y44" s="17">
        <v>0</v>
      </c>
      <c r="AA44" s="17">
        <v>0</v>
      </c>
      <c r="AC44" s="17">
        <v>159958</v>
      </c>
      <c r="AE44" s="17">
        <v>15347</v>
      </c>
      <c r="AG44" s="13">
        <f t="shared" si="0"/>
        <v>8.6506415299452161E-2</v>
      </c>
      <c r="AH44" s="13">
        <f t="shared" si="1"/>
        <v>0</v>
      </c>
      <c r="AI44" s="13">
        <f t="shared" si="2"/>
        <v>1.5752170616927234E-2</v>
      </c>
    </row>
    <row r="45" spans="1:35" x14ac:dyDescent="0.3">
      <c r="A45" s="16">
        <v>2048</v>
      </c>
      <c r="C45" s="17">
        <v>4778</v>
      </c>
      <c r="E45" s="17">
        <v>0</v>
      </c>
      <c r="G45" s="17">
        <v>4301</v>
      </c>
      <c r="I45" s="17">
        <v>0</v>
      </c>
      <c r="K45" s="18">
        <v>60</v>
      </c>
      <c r="M45" s="18">
        <v>1.62</v>
      </c>
      <c r="O45" s="17">
        <v>258080</v>
      </c>
      <c r="Q45" s="17">
        <v>4209</v>
      </c>
      <c r="S45" s="17">
        <v>22332</v>
      </c>
      <c r="U45" s="17">
        <v>81900</v>
      </c>
      <c r="W45" s="17">
        <v>18000</v>
      </c>
      <c r="Y45" s="17">
        <v>0</v>
      </c>
      <c r="AA45" s="17">
        <v>0</v>
      </c>
      <c r="AC45" s="17">
        <v>140056</v>
      </c>
      <c r="AE45" s="17">
        <v>12163</v>
      </c>
      <c r="AG45" s="13">
        <f t="shared" si="0"/>
        <v>8.6531308121512704E-2</v>
      </c>
      <c r="AH45" s="13">
        <f t="shared" si="1"/>
        <v>0</v>
      </c>
      <c r="AI45" s="13">
        <f t="shared" si="2"/>
        <v>1.6308896466212027E-2</v>
      </c>
    </row>
    <row r="46" spans="1:35" ht="21.9" customHeight="1" x14ac:dyDescent="0.3">
      <c r="A46" s="16">
        <v>2049</v>
      </c>
      <c r="C46" s="17">
        <v>4353</v>
      </c>
      <c r="E46" s="17">
        <v>0</v>
      </c>
      <c r="G46" s="17">
        <v>3917</v>
      </c>
      <c r="I46" s="17">
        <v>0</v>
      </c>
      <c r="K46" s="18">
        <v>60</v>
      </c>
      <c r="M46" s="18">
        <v>1.62</v>
      </c>
      <c r="O46" s="17">
        <v>235037</v>
      </c>
      <c r="Q46" s="17">
        <v>3940</v>
      </c>
      <c r="S46" s="17">
        <v>20345</v>
      </c>
      <c r="U46" s="17">
        <v>81900</v>
      </c>
      <c r="W46" s="17">
        <v>18000</v>
      </c>
      <c r="Y46" s="17">
        <v>0</v>
      </c>
      <c r="AA46" s="17">
        <v>0</v>
      </c>
      <c r="AC46" s="17">
        <v>118732</v>
      </c>
      <c r="AE46" s="17">
        <v>9335</v>
      </c>
      <c r="AG46" s="13">
        <f t="shared" si="0"/>
        <v>8.6560839357207583E-2</v>
      </c>
      <c r="AH46" s="13">
        <f t="shared" si="1"/>
        <v>0</v>
      </c>
      <c r="AI46" s="13">
        <f t="shared" si="2"/>
        <v>1.6763318115871118E-2</v>
      </c>
    </row>
    <row r="47" spans="1:35" x14ac:dyDescent="0.3">
      <c r="A47" s="16">
        <v>2050</v>
      </c>
      <c r="C47" s="17">
        <v>4102</v>
      </c>
      <c r="E47" s="17">
        <v>0</v>
      </c>
      <c r="G47" s="17">
        <v>3693</v>
      </c>
      <c r="I47" s="17">
        <v>0</v>
      </c>
      <c r="K47" s="18">
        <v>60</v>
      </c>
      <c r="M47" s="18">
        <v>1.62</v>
      </c>
      <c r="O47" s="17">
        <v>221561</v>
      </c>
      <c r="Q47" s="17">
        <v>3723</v>
      </c>
      <c r="S47" s="17">
        <v>19180</v>
      </c>
      <c r="U47" s="17">
        <v>81900</v>
      </c>
      <c r="W47" s="17">
        <v>0</v>
      </c>
      <c r="Y47" s="17">
        <v>0</v>
      </c>
      <c r="AA47" s="17">
        <v>0</v>
      </c>
      <c r="AC47" s="17">
        <v>124204</v>
      </c>
      <c r="AE47" s="17">
        <v>8839</v>
      </c>
      <c r="AG47" s="13">
        <f t="shared" si="0"/>
        <v>8.6567581839764221E-2</v>
      </c>
      <c r="AH47" s="13">
        <f t="shared" si="1"/>
        <v>0</v>
      </c>
      <c r="AI47" s="13">
        <f t="shared" si="2"/>
        <v>1.6803498810711272E-2</v>
      </c>
    </row>
    <row r="48" spans="1:35" x14ac:dyDescent="0.3">
      <c r="A48" s="16">
        <v>2051</v>
      </c>
      <c r="C48" s="17">
        <v>3838</v>
      </c>
      <c r="E48" s="17">
        <v>0</v>
      </c>
      <c r="G48" s="17">
        <v>3454</v>
      </c>
      <c r="I48" s="17">
        <v>0</v>
      </c>
      <c r="K48" s="18">
        <v>60</v>
      </c>
      <c r="M48" s="18">
        <v>1.62</v>
      </c>
      <c r="O48" s="17">
        <v>207237</v>
      </c>
      <c r="Q48" s="17">
        <v>3471</v>
      </c>
      <c r="S48" s="17">
        <v>17941</v>
      </c>
      <c r="U48" s="17">
        <v>81900</v>
      </c>
      <c r="W48" s="17">
        <v>0</v>
      </c>
      <c r="Y48" s="17">
        <v>0</v>
      </c>
      <c r="AA48" s="17">
        <v>0</v>
      </c>
      <c r="AC48" s="17">
        <v>110868</v>
      </c>
      <c r="AE48" s="17">
        <v>7142</v>
      </c>
      <c r="AG48" s="13">
        <f t="shared" si="0"/>
        <v>8.6572378484537027E-2</v>
      </c>
      <c r="AH48" s="13">
        <f t="shared" si="1"/>
        <v>0</v>
      </c>
      <c r="AI48" s="13">
        <f t="shared" si="2"/>
        <v>1.6748939619855529E-2</v>
      </c>
    </row>
    <row r="49" spans="1:35" x14ac:dyDescent="0.3">
      <c r="A49" s="16">
        <v>2052</v>
      </c>
      <c r="C49" s="17">
        <v>2184</v>
      </c>
      <c r="E49" s="17">
        <v>0</v>
      </c>
      <c r="G49" s="17">
        <v>1967</v>
      </c>
      <c r="I49" s="17">
        <v>0</v>
      </c>
      <c r="K49" s="18">
        <v>60</v>
      </c>
      <c r="M49" s="18">
        <v>1.62</v>
      </c>
      <c r="O49" s="17">
        <v>118063</v>
      </c>
      <c r="Q49" s="17">
        <v>1973</v>
      </c>
      <c r="S49" s="17">
        <v>10223</v>
      </c>
      <c r="U49" s="17">
        <v>51188</v>
      </c>
      <c r="W49" s="17">
        <v>0</v>
      </c>
      <c r="Y49" s="17">
        <v>0</v>
      </c>
      <c r="AA49" s="17">
        <v>0</v>
      </c>
      <c r="AC49" s="17">
        <v>58624</v>
      </c>
      <c r="AE49" s="17">
        <v>3418</v>
      </c>
      <c r="AG49" s="13">
        <f t="shared" si="0"/>
        <v>8.6589363306031522E-2</v>
      </c>
      <c r="AH49" s="13">
        <f t="shared" si="1"/>
        <v>0</v>
      </c>
      <c r="AI49" s="13">
        <f t="shared" si="2"/>
        <v>1.6711416785953261E-2</v>
      </c>
    </row>
    <row r="50" spans="1:35" x14ac:dyDescent="0.3">
      <c r="A50" s="16">
        <v>2053</v>
      </c>
      <c r="C50" s="17">
        <v>0</v>
      </c>
      <c r="E50" s="17">
        <v>0</v>
      </c>
      <c r="G50" s="17">
        <v>0</v>
      </c>
      <c r="I50" s="17">
        <v>0</v>
      </c>
      <c r="K50" s="18">
        <v>0</v>
      </c>
      <c r="M50" s="18">
        <v>0</v>
      </c>
      <c r="O50" s="17">
        <v>0</v>
      </c>
      <c r="Q50" s="17">
        <v>0</v>
      </c>
      <c r="S50" s="17">
        <v>0</v>
      </c>
      <c r="U50" s="17">
        <v>0</v>
      </c>
      <c r="W50" s="17">
        <v>0</v>
      </c>
      <c r="Y50" s="17">
        <v>691155</v>
      </c>
      <c r="AA50" s="17">
        <v>0</v>
      </c>
      <c r="AC50" s="17">
        <v>-691155</v>
      </c>
      <c r="AE50" s="17">
        <v>-36483</v>
      </c>
      <c r="AG50" s="13">
        <f t="shared" si="0"/>
        <v>0</v>
      </c>
      <c r="AH50" s="13">
        <f t="shared" si="1"/>
        <v>0</v>
      </c>
      <c r="AI50" s="13">
        <f t="shared" si="2"/>
        <v>0</v>
      </c>
    </row>
    <row r="51" spans="1:35" ht="21.9" customHeight="1" x14ac:dyDescent="0.3">
      <c r="A51" s="16">
        <v>2054</v>
      </c>
      <c r="C51" s="17">
        <v>0</v>
      </c>
      <c r="E51" s="17">
        <v>0</v>
      </c>
      <c r="G51" s="17">
        <v>0</v>
      </c>
      <c r="I51" s="17">
        <v>0</v>
      </c>
      <c r="K51" s="18">
        <v>0</v>
      </c>
      <c r="M51" s="18">
        <v>0</v>
      </c>
      <c r="O51" s="17">
        <v>0</v>
      </c>
      <c r="Q51" s="17">
        <v>0</v>
      </c>
      <c r="S51" s="17">
        <v>0</v>
      </c>
      <c r="U51" s="17">
        <v>0</v>
      </c>
      <c r="W51" s="17">
        <v>0</v>
      </c>
      <c r="Y51" s="17">
        <v>0</v>
      </c>
      <c r="AA51" s="17">
        <v>0</v>
      </c>
      <c r="AC51" s="17">
        <v>0</v>
      </c>
      <c r="AE51" s="17">
        <v>0</v>
      </c>
      <c r="AG51" s="13">
        <f t="shared" si="0"/>
        <v>0</v>
      </c>
      <c r="AH51" s="13">
        <f t="shared" si="1"/>
        <v>0</v>
      </c>
      <c r="AI51" s="13">
        <f t="shared" si="2"/>
        <v>0</v>
      </c>
    </row>
    <row r="52" spans="1:35" x14ac:dyDescent="0.3">
      <c r="A52" s="16">
        <v>2055</v>
      </c>
      <c r="C52" s="17">
        <v>0</v>
      </c>
      <c r="E52" s="17">
        <v>0</v>
      </c>
      <c r="G52" s="17">
        <v>0</v>
      </c>
      <c r="I52" s="17">
        <v>0</v>
      </c>
      <c r="K52" s="18">
        <v>0</v>
      </c>
      <c r="M52" s="18">
        <v>0</v>
      </c>
      <c r="O52" s="17">
        <v>0</v>
      </c>
      <c r="Q52" s="17">
        <v>0</v>
      </c>
      <c r="S52" s="17">
        <v>0</v>
      </c>
      <c r="U52" s="17">
        <v>0</v>
      </c>
      <c r="W52" s="17">
        <v>0</v>
      </c>
      <c r="Y52" s="17">
        <v>0</v>
      </c>
      <c r="AA52" s="17">
        <v>0</v>
      </c>
      <c r="AC52" s="17">
        <v>0</v>
      </c>
      <c r="AE52" s="17">
        <v>0</v>
      </c>
      <c r="AG52" s="13">
        <f t="shared" si="0"/>
        <v>0</v>
      </c>
      <c r="AH52" s="13">
        <f t="shared" si="1"/>
        <v>0</v>
      </c>
      <c r="AI52" s="13">
        <f t="shared" si="2"/>
        <v>0</v>
      </c>
    </row>
    <row r="53" spans="1:35" x14ac:dyDescent="0.3">
      <c r="A53" s="16">
        <v>2056</v>
      </c>
      <c r="C53" s="17">
        <v>0</v>
      </c>
      <c r="E53" s="17">
        <v>0</v>
      </c>
      <c r="G53" s="17">
        <v>0</v>
      </c>
      <c r="I53" s="17">
        <v>0</v>
      </c>
      <c r="K53" s="18">
        <v>0</v>
      </c>
      <c r="M53" s="18">
        <v>0</v>
      </c>
      <c r="O53" s="17">
        <v>0</v>
      </c>
      <c r="Q53" s="17">
        <v>0</v>
      </c>
      <c r="S53" s="17">
        <v>0</v>
      </c>
      <c r="U53" s="17">
        <v>0</v>
      </c>
      <c r="W53" s="17">
        <v>0</v>
      </c>
      <c r="Y53" s="17">
        <v>0</v>
      </c>
      <c r="AA53" s="17">
        <v>0</v>
      </c>
      <c r="AC53" s="17">
        <v>0</v>
      </c>
      <c r="AE53" s="17">
        <v>0</v>
      </c>
      <c r="AG53" s="13">
        <f t="shared" si="0"/>
        <v>0</v>
      </c>
      <c r="AH53" s="13">
        <f t="shared" si="1"/>
        <v>0</v>
      </c>
      <c r="AI53" s="13">
        <f t="shared" si="2"/>
        <v>0</v>
      </c>
    </row>
    <row r="54" spans="1:35" x14ac:dyDescent="0.3">
      <c r="A54" s="16">
        <v>2057</v>
      </c>
      <c r="C54" s="17">
        <v>0</v>
      </c>
      <c r="E54" s="17">
        <v>0</v>
      </c>
      <c r="G54" s="17">
        <v>0</v>
      </c>
      <c r="I54" s="17">
        <v>0</v>
      </c>
      <c r="K54" s="18">
        <v>0</v>
      </c>
      <c r="M54" s="18">
        <v>0</v>
      </c>
      <c r="O54" s="17">
        <v>0</v>
      </c>
      <c r="Q54" s="17">
        <v>0</v>
      </c>
      <c r="S54" s="17">
        <v>0</v>
      </c>
      <c r="U54" s="17">
        <v>0</v>
      </c>
      <c r="W54" s="17">
        <v>0</v>
      </c>
      <c r="Y54" s="17">
        <v>0</v>
      </c>
      <c r="AA54" s="17">
        <v>0</v>
      </c>
      <c r="AC54" s="17">
        <v>0</v>
      </c>
      <c r="AE54" s="17">
        <v>0</v>
      </c>
      <c r="AG54" s="13">
        <f t="shared" si="0"/>
        <v>0</v>
      </c>
      <c r="AH54" s="13">
        <f t="shared" si="1"/>
        <v>0</v>
      </c>
      <c r="AI54" s="13">
        <f t="shared" si="2"/>
        <v>0</v>
      </c>
    </row>
    <row r="55" spans="1:35" x14ac:dyDescent="0.3">
      <c r="A55" s="16">
        <v>2058</v>
      </c>
      <c r="C55" s="17">
        <v>0</v>
      </c>
      <c r="E55" s="17">
        <v>0</v>
      </c>
      <c r="G55" s="17">
        <v>0</v>
      </c>
      <c r="I55" s="17">
        <v>0</v>
      </c>
      <c r="K55" s="18">
        <v>0</v>
      </c>
      <c r="M55" s="18">
        <v>0</v>
      </c>
      <c r="O55" s="17">
        <v>0</v>
      </c>
      <c r="Q55" s="17">
        <v>0</v>
      </c>
      <c r="S55" s="17">
        <v>0</v>
      </c>
      <c r="U55" s="17">
        <v>0</v>
      </c>
      <c r="W55" s="17">
        <v>0</v>
      </c>
      <c r="Y55" s="17">
        <v>0</v>
      </c>
      <c r="AA55" s="17">
        <v>0</v>
      </c>
      <c r="AC55" s="17">
        <v>0</v>
      </c>
      <c r="AE55" s="17">
        <v>0</v>
      </c>
      <c r="AG55" s="13">
        <f t="shared" si="0"/>
        <v>0</v>
      </c>
      <c r="AH55" s="13">
        <f t="shared" si="1"/>
        <v>0</v>
      </c>
      <c r="AI55" s="13">
        <f t="shared" si="2"/>
        <v>0</v>
      </c>
    </row>
    <row r="56" spans="1:35" ht="21.9" customHeight="1" x14ac:dyDescent="0.3">
      <c r="A56" s="16">
        <v>2059</v>
      </c>
      <c r="C56" s="17">
        <v>0</v>
      </c>
      <c r="E56" s="17">
        <v>0</v>
      </c>
      <c r="G56" s="17">
        <v>0</v>
      </c>
      <c r="I56" s="17">
        <v>0</v>
      </c>
      <c r="K56" s="18">
        <v>0</v>
      </c>
      <c r="M56" s="18">
        <v>0</v>
      </c>
      <c r="O56" s="17">
        <v>0</v>
      </c>
      <c r="Q56" s="17">
        <v>0</v>
      </c>
      <c r="S56" s="17">
        <v>0</v>
      </c>
      <c r="U56" s="17">
        <v>0</v>
      </c>
      <c r="W56" s="17">
        <v>0</v>
      </c>
      <c r="Y56" s="17">
        <v>0</v>
      </c>
      <c r="AA56" s="17">
        <v>0</v>
      </c>
      <c r="AC56" s="17">
        <v>0</v>
      </c>
      <c r="AE56" s="17">
        <v>0</v>
      </c>
      <c r="AG56" s="13">
        <f t="shared" si="0"/>
        <v>0</v>
      </c>
      <c r="AH56" s="13">
        <f t="shared" si="1"/>
        <v>0</v>
      </c>
      <c r="AI56" s="13">
        <f t="shared" si="2"/>
        <v>0</v>
      </c>
    </row>
    <row r="57" spans="1:35" x14ac:dyDescent="0.3">
      <c r="A57" s="16">
        <v>2060</v>
      </c>
      <c r="C57" s="19">
        <v>0</v>
      </c>
      <c r="E57" s="19">
        <v>0</v>
      </c>
      <c r="G57" s="19">
        <v>0</v>
      </c>
      <c r="I57" s="19">
        <v>0</v>
      </c>
      <c r="K57" s="18">
        <v>0</v>
      </c>
      <c r="M57" s="18">
        <v>0</v>
      </c>
      <c r="O57" s="19">
        <v>0</v>
      </c>
      <c r="Q57" s="19">
        <v>0</v>
      </c>
      <c r="S57" s="19">
        <v>0</v>
      </c>
      <c r="U57" s="19">
        <v>0</v>
      </c>
      <c r="W57" s="19">
        <v>0</v>
      </c>
      <c r="Y57" s="19">
        <v>0</v>
      </c>
      <c r="AA57" s="19">
        <v>0</v>
      </c>
      <c r="AC57" s="19">
        <v>0</v>
      </c>
      <c r="AE57" s="19">
        <v>0</v>
      </c>
      <c r="AG57" s="13">
        <f t="shared" si="0"/>
        <v>0</v>
      </c>
      <c r="AH57" s="13">
        <f t="shared" si="1"/>
        <v>0</v>
      </c>
      <c r="AI57" s="13">
        <f t="shared" si="2"/>
        <v>0</v>
      </c>
    </row>
    <row r="58" spans="1:35" x14ac:dyDescent="0.3">
      <c r="AG58" s="13"/>
      <c r="AH58" s="13"/>
      <c r="AI58" s="13"/>
    </row>
    <row r="59" spans="1:35" x14ac:dyDescent="0.3">
      <c r="A59" s="231" t="s">
        <v>2</v>
      </c>
      <c r="C59" s="232">
        <v>523033</v>
      </c>
      <c r="E59" s="232">
        <v>160001</v>
      </c>
      <c r="G59" s="232">
        <v>475627</v>
      </c>
      <c r="I59" s="232">
        <v>145937</v>
      </c>
      <c r="O59" s="232">
        <v>28774027</v>
      </c>
      <c r="Q59" s="232">
        <v>457918</v>
      </c>
      <c r="S59" s="232">
        <v>1927655</v>
      </c>
      <c r="U59" s="232">
        <v>2358108</v>
      </c>
      <c r="W59" s="232">
        <v>1653868</v>
      </c>
      <c r="Y59" s="232">
        <v>761355</v>
      </c>
      <c r="AA59" s="232">
        <v>1478008</v>
      </c>
      <c r="AC59" s="232">
        <v>21052950</v>
      </c>
      <c r="AE59" s="232">
        <v>10118070</v>
      </c>
      <c r="AG59" s="13"/>
      <c r="AH59" s="13"/>
      <c r="AI59" s="13"/>
    </row>
    <row r="60" spans="1:35" x14ac:dyDescent="0.3">
      <c r="AG60" s="13"/>
      <c r="AH60" s="13"/>
      <c r="AI60" s="13"/>
    </row>
    <row r="61" spans="1:35" ht="21.9" customHeight="1" x14ac:dyDescent="0.3">
      <c r="A61" t="s">
        <v>47</v>
      </c>
      <c r="AC61" s="228" t="s">
        <v>729</v>
      </c>
      <c r="AD61" s="15"/>
      <c r="AE61" s="15"/>
      <c r="AG61" s="13"/>
      <c r="AH61" s="13"/>
      <c r="AI61" s="13"/>
    </row>
    <row r="62" spans="1:35" x14ac:dyDescent="0.3">
      <c r="A62" t="s">
        <v>86</v>
      </c>
      <c r="AC62" s="20" t="s">
        <v>48</v>
      </c>
      <c r="AE62" s="17">
        <v>14230459</v>
      </c>
      <c r="AG62" s="13"/>
      <c r="AH62" s="13"/>
      <c r="AI62" s="13"/>
    </row>
    <row r="63" spans="1:35" x14ac:dyDescent="0.3">
      <c r="A63" t="s">
        <v>83</v>
      </c>
      <c r="AC63" s="20" t="s">
        <v>49</v>
      </c>
      <c r="AE63" s="17">
        <v>7508826</v>
      </c>
      <c r="AG63" s="13"/>
      <c r="AH63" s="13"/>
      <c r="AI63" s="13"/>
    </row>
    <row r="64" spans="1:35" x14ac:dyDescent="0.3">
      <c r="A64" t="s">
        <v>84</v>
      </c>
      <c r="AC64" s="20" t="s">
        <v>50</v>
      </c>
      <c r="AE64" s="17">
        <v>5770725</v>
      </c>
      <c r="AG64" s="13"/>
      <c r="AH64" s="13"/>
      <c r="AI64" s="13"/>
    </row>
    <row r="65" spans="1:1" x14ac:dyDescent="0.3">
      <c r="A65" t="s">
        <v>85</v>
      </c>
    </row>
    <row r="66" spans="1:1" x14ac:dyDescent="0.3">
      <c r="A66" t="s">
        <v>730</v>
      </c>
    </row>
    <row r="67" spans="1:1" x14ac:dyDescent="0.3">
      <c r="A67" s="233" t="s">
        <v>731</v>
      </c>
    </row>
    <row r="68" spans="1:1" x14ac:dyDescent="0.3">
      <c r="A68" t="s">
        <v>732</v>
      </c>
    </row>
    <row r="69" spans="1:1" x14ac:dyDescent="0.3">
      <c r="A69" s="233" t="s">
        <v>733</v>
      </c>
    </row>
  </sheetData>
  <printOptions horizontalCentered="1"/>
  <pageMargins left="0.5" right="0.5" top="0.75" bottom="1" header="0.3" footer="0.3"/>
  <pageSetup scale="41" orientation="landscape"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2D531-B026-4890-9CF9-21440A593822}">
  <sheetPr>
    <tabColor theme="8" tint="0.79998168889431442"/>
  </sheetPr>
  <dimension ref="A1:BW83"/>
  <sheetViews>
    <sheetView showGridLines="0" workbookViewId="0">
      <pane xSplit="2" ySplit="1" topLeftCell="AC2" activePane="bottomRight" state="frozen"/>
      <selection pane="topRight" activeCell="C1" sqref="C1"/>
      <selection pane="bottomLeft" activeCell="A2" sqref="A2"/>
      <selection pane="bottomRight" activeCell="AC39" sqref="AC39"/>
    </sheetView>
  </sheetViews>
  <sheetFormatPr defaultRowHeight="14.4" x14ac:dyDescent="0.3"/>
  <cols>
    <col min="1" max="1" width="38.6640625" bestFit="1" customWidth="1"/>
    <col min="2" max="30" width="8.77734375" customWidth="1"/>
    <col min="31" max="31" width="10.44140625" customWidth="1"/>
  </cols>
  <sheetData>
    <row r="1" spans="1:75" x14ac:dyDescent="0.3">
      <c r="B1" s="3"/>
      <c r="C1" s="3" t="str">
        <f>'Fluxo de Caixa dos Acionistas'!C1</f>
        <v>1T18</v>
      </c>
      <c r="D1" s="3" t="str">
        <f>'Fluxo de Caixa dos Acionistas'!D1</f>
        <v>2T18</v>
      </c>
      <c r="E1" s="3" t="str">
        <f>'Fluxo de Caixa dos Acionistas'!E1</f>
        <v>3T18</v>
      </c>
      <c r="F1" s="3" t="str">
        <f>'Fluxo de Caixa dos Acionistas'!F1</f>
        <v>4T18</v>
      </c>
      <c r="G1" s="3">
        <f>'Fluxo de Caixa dos Acionistas'!G1</f>
        <v>2018</v>
      </c>
      <c r="H1" s="3" t="str">
        <f>'Fluxo de Caixa dos Acionistas'!H1</f>
        <v>1T19</v>
      </c>
      <c r="I1" s="3" t="str">
        <f>'Fluxo de Caixa dos Acionistas'!I1</f>
        <v>2T19</v>
      </c>
      <c r="J1" s="3" t="str">
        <f>'Fluxo de Caixa dos Acionistas'!J1</f>
        <v>3T19</v>
      </c>
      <c r="K1" s="3" t="str">
        <f>'Fluxo de Caixa dos Acionistas'!K1</f>
        <v>4T19</v>
      </c>
      <c r="L1" s="3">
        <f>'Fluxo de Caixa dos Acionistas'!L1</f>
        <v>2019</v>
      </c>
      <c r="M1" s="3" t="str">
        <f>'Fluxo de Caixa dos Acionistas'!M1</f>
        <v>1T20</v>
      </c>
      <c r="N1" s="3" t="str">
        <f>'Fluxo de Caixa dos Acionistas'!N1</f>
        <v>2T20</v>
      </c>
      <c r="O1" s="3" t="str">
        <f>'Fluxo de Caixa dos Acionistas'!O1</f>
        <v>3T20</v>
      </c>
      <c r="P1" s="3" t="str">
        <f>'Fluxo de Caixa dos Acionistas'!P1</f>
        <v>4T20</v>
      </c>
      <c r="Q1" s="3">
        <f>'Fluxo de Caixa dos Acionistas'!Q1</f>
        <v>2020</v>
      </c>
      <c r="R1" s="3" t="str">
        <f>'Fluxo de Caixa dos Acionistas'!R1</f>
        <v>1T21</v>
      </c>
      <c r="S1" s="3" t="str">
        <f>'Fluxo de Caixa dos Acionistas'!S1</f>
        <v>2T21</v>
      </c>
      <c r="T1" s="3" t="str">
        <f>'Fluxo de Caixa dos Acionistas'!T1</f>
        <v>3T21</v>
      </c>
      <c r="U1" s="3" t="str">
        <f>'Fluxo de Caixa dos Acionistas'!U1</f>
        <v>4T21</v>
      </c>
      <c r="V1" s="3">
        <f>'Fluxo de Caixa dos Acionistas'!V1</f>
        <v>2021</v>
      </c>
      <c r="W1" s="3" t="str">
        <f>'Fluxo de Caixa dos Acionistas'!W1</f>
        <v>1T22</v>
      </c>
      <c r="X1" s="3" t="str">
        <f>'Fluxo de Caixa dos Acionistas'!X1</f>
        <v>2T22</v>
      </c>
      <c r="Y1" s="3" t="str">
        <f>'Fluxo de Caixa dos Acionistas'!Y1</f>
        <v>3T22</v>
      </c>
      <c r="Z1" s="3" t="str">
        <f>'Fluxo de Caixa dos Acionistas'!Z1</f>
        <v>4T22</v>
      </c>
      <c r="AA1" s="3">
        <f>'Fluxo de Caixa dos Acionistas'!AA1</f>
        <v>2022</v>
      </c>
      <c r="AB1" s="3" t="str">
        <f>'Fluxo de Caixa dos Acionistas'!AB1</f>
        <v>1T23</v>
      </c>
      <c r="AC1" s="3" t="str">
        <f>'Fluxo de Caixa dos Acionistas'!AC1</f>
        <v>2T23</v>
      </c>
      <c r="AD1" s="3" t="str">
        <f>'Fluxo de Caixa dos Acionistas'!AD1</f>
        <v>3T23</v>
      </c>
      <c r="AE1" s="3" t="str">
        <f>'Fluxo de Caixa dos Acionistas'!AE1</f>
        <v>4T23</v>
      </c>
      <c r="AF1" s="3">
        <v>2023</v>
      </c>
      <c r="AG1" s="3">
        <f>AF1+1</f>
        <v>2024</v>
      </c>
      <c r="AH1" s="3">
        <f t="shared" ref="AH1:BJ1" si="0">AG1+1</f>
        <v>2025</v>
      </c>
      <c r="AI1" s="3">
        <f t="shared" si="0"/>
        <v>2026</v>
      </c>
      <c r="AJ1" s="3">
        <f t="shared" si="0"/>
        <v>2027</v>
      </c>
      <c r="AK1" s="3">
        <f t="shared" si="0"/>
        <v>2028</v>
      </c>
      <c r="AL1" s="3">
        <f t="shared" si="0"/>
        <v>2029</v>
      </c>
      <c r="AM1" s="3">
        <f t="shared" si="0"/>
        <v>2030</v>
      </c>
      <c r="AN1" s="3">
        <f t="shared" si="0"/>
        <v>2031</v>
      </c>
      <c r="AO1" s="3">
        <f t="shared" si="0"/>
        <v>2032</v>
      </c>
      <c r="AP1" s="3">
        <f t="shared" si="0"/>
        <v>2033</v>
      </c>
      <c r="AQ1" s="3">
        <f t="shared" si="0"/>
        <v>2034</v>
      </c>
      <c r="AR1" s="3">
        <f t="shared" si="0"/>
        <v>2035</v>
      </c>
      <c r="AS1" s="3">
        <f t="shared" si="0"/>
        <v>2036</v>
      </c>
      <c r="AT1" s="3">
        <f t="shared" si="0"/>
        <v>2037</v>
      </c>
      <c r="AU1" s="3">
        <f t="shared" si="0"/>
        <v>2038</v>
      </c>
      <c r="AV1" s="3">
        <f t="shared" si="0"/>
        <v>2039</v>
      </c>
      <c r="AW1" s="3">
        <f t="shared" si="0"/>
        <v>2040</v>
      </c>
      <c r="AX1" s="3">
        <f t="shared" si="0"/>
        <v>2041</v>
      </c>
      <c r="AY1" s="3">
        <f t="shared" si="0"/>
        <v>2042</v>
      </c>
      <c r="AZ1" s="3">
        <f t="shared" si="0"/>
        <v>2043</v>
      </c>
      <c r="BA1" s="3">
        <f t="shared" si="0"/>
        <v>2044</v>
      </c>
      <c r="BB1" s="3">
        <f t="shared" si="0"/>
        <v>2045</v>
      </c>
      <c r="BC1" s="3">
        <f t="shared" si="0"/>
        <v>2046</v>
      </c>
      <c r="BD1" s="3">
        <f t="shared" si="0"/>
        <v>2047</v>
      </c>
      <c r="BE1" s="3">
        <f t="shared" si="0"/>
        <v>2048</v>
      </c>
      <c r="BF1" s="3">
        <f t="shared" si="0"/>
        <v>2049</v>
      </c>
      <c r="BG1" s="3">
        <f t="shared" si="0"/>
        <v>2050</v>
      </c>
      <c r="BH1" s="3">
        <f t="shared" si="0"/>
        <v>2051</v>
      </c>
      <c r="BI1" s="3">
        <f t="shared" si="0"/>
        <v>2052</v>
      </c>
      <c r="BJ1" s="3">
        <f t="shared" si="0"/>
        <v>2053</v>
      </c>
      <c r="BK1" s="3">
        <f t="shared" ref="BK1:BW1" si="1">BJ1+1</f>
        <v>2054</v>
      </c>
      <c r="BL1" s="3">
        <f t="shared" si="1"/>
        <v>2055</v>
      </c>
      <c r="BM1" s="3">
        <f t="shared" si="1"/>
        <v>2056</v>
      </c>
      <c r="BN1" s="3">
        <f t="shared" si="1"/>
        <v>2057</v>
      </c>
      <c r="BO1" s="3">
        <f t="shared" si="1"/>
        <v>2058</v>
      </c>
      <c r="BP1" s="3">
        <f t="shared" si="1"/>
        <v>2059</v>
      </c>
      <c r="BQ1" s="3">
        <f t="shared" si="1"/>
        <v>2060</v>
      </c>
      <c r="BR1" s="3">
        <f t="shared" si="1"/>
        <v>2061</v>
      </c>
      <c r="BS1" s="3">
        <f t="shared" si="1"/>
        <v>2062</v>
      </c>
      <c r="BT1" s="3">
        <f t="shared" si="1"/>
        <v>2063</v>
      </c>
      <c r="BU1" s="3">
        <f t="shared" si="1"/>
        <v>2064</v>
      </c>
      <c r="BV1" s="3">
        <f t="shared" si="1"/>
        <v>2065</v>
      </c>
      <c r="BW1" s="3">
        <f t="shared" si="1"/>
        <v>2066</v>
      </c>
    </row>
    <row r="2" spans="1:75" x14ac:dyDescent="0.3">
      <c r="B2" s="3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row>
    <row r="3" spans="1:75" x14ac:dyDescent="0.3">
      <c r="A3" t="s">
        <v>686</v>
      </c>
      <c r="B3" s="12" t="str">
        <f>'Avaliação e Simulações'!$B$34</f>
        <v>2p</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row>
    <row r="4" spans="1:75" x14ac:dyDescent="0.3">
      <c r="B4" s="34"/>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row>
    <row r="5" spans="1:75" s="204" customFormat="1" x14ac:dyDescent="0.3">
      <c r="A5" s="204" t="s">
        <v>1193</v>
      </c>
    </row>
    <row r="7" spans="1:75" x14ac:dyDescent="0.3">
      <c r="A7" s="4" t="s">
        <v>694</v>
      </c>
      <c r="B7" s="4"/>
      <c r="C7" s="48">
        <f t="shared" ref="C7:AB7" si="2">SUM(C8:C11)</f>
        <v>1632.7583999999999</v>
      </c>
      <c r="D7" s="48">
        <f t="shared" si="2"/>
        <v>1822.1112000000001</v>
      </c>
      <c r="E7" s="48">
        <f t="shared" si="2"/>
        <v>2020.3016</v>
      </c>
      <c r="F7" s="48">
        <f t="shared" si="2"/>
        <v>2164.9918400000001</v>
      </c>
      <c r="G7" s="51">
        <f t="shared" si="2"/>
        <v>7633.7268000000004</v>
      </c>
      <c r="H7" s="48">
        <f t="shared" si="2"/>
        <v>1934.2764000000002</v>
      </c>
      <c r="I7" s="48">
        <f t="shared" si="2"/>
        <v>1831.1930000000002</v>
      </c>
      <c r="J7" s="48">
        <f t="shared" si="2"/>
        <v>1872.0160000000001</v>
      </c>
      <c r="K7" s="48">
        <f t="shared" si="2"/>
        <v>2205.7919999999999</v>
      </c>
      <c r="L7" s="48">
        <f t="shared" si="2"/>
        <v>7841.9300999999996</v>
      </c>
      <c r="M7" s="48">
        <f t="shared" si="2"/>
        <v>2132.7669999999998</v>
      </c>
      <c r="N7" s="48">
        <f t="shared" si="2"/>
        <v>2141.5029999999997</v>
      </c>
      <c r="O7" s="48">
        <f t="shared" si="2"/>
        <v>2698.3599999999997</v>
      </c>
      <c r="P7" s="48">
        <f t="shared" si="2"/>
        <v>2759.08</v>
      </c>
      <c r="Q7" s="48">
        <f t="shared" si="2"/>
        <v>9725.5349999999999</v>
      </c>
      <c r="R7" s="48">
        <f t="shared" si="2"/>
        <v>2818.5299999999997</v>
      </c>
      <c r="S7" s="48">
        <f t="shared" si="2"/>
        <v>2841.4750000000004</v>
      </c>
      <c r="T7" s="48">
        <f t="shared" si="2"/>
        <v>2908.3040000000001</v>
      </c>
      <c r="U7" s="48">
        <f t="shared" si="2"/>
        <v>2971.5079999999998</v>
      </c>
      <c r="V7" s="48">
        <f t="shared" si="2"/>
        <v>11538.83625</v>
      </c>
      <c r="W7" s="48">
        <f t="shared" si="2"/>
        <v>3167.01</v>
      </c>
      <c r="X7" s="48">
        <f t="shared" si="2"/>
        <v>3030.6639999999998</v>
      </c>
      <c r="Y7" s="48">
        <f t="shared" si="2"/>
        <v>4210.4719999999998</v>
      </c>
      <c r="Z7" s="48">
        <f t="shared" si="2"/>
        <v>4381.1319999999996</v>
      </c>
      <c r="AA7" s="48">
        <f t="shared" si="2"/>
        <v>14771.55</v>
      </c>
      <c r="AB7" s="48">
        <f t="shared" si="2"/>
        <v>5493.5099999999993</v>
      </c>
      <c r="AC7" s="48">
        <f>SUM(AC8:AC11)</f>
        <v>8289.4629999999997</v>
      </c>
      <c r="AD7" s="48">
        <f>SUM(AD8:AD11)</f>
        <v>9191.7199999999993</v>
      </c>
      <c r="AE7" s="48">
        <f>SUM(AE8:AE11)</f>
        <v>9228.4279999999999</v>
      </c>
      <c r="AF7" s="48">
        <f>SUM(AF8:AF11)</f>
        <v>32152.028749999998</v>
      </c>
      <c r="AG7" s="48">
        <f t="shared" ref="AG7:BJ7" ca="1" si="3">SUM(AG8:AG11)</f>
        <v>41329</v>
      </c>
      <c r="AH7" s="48">
        <f t="shared" ca="1" si="3"/>
        <v>54228</v>
      </c>
      <c r="AI7" s="48">
        <f t="shared" ca="1" si="3"/>
        <v>57788</v>
      </c>
      <c r="AJ7" s="48">
        <f t="shared" ca="1" si="3"/>
        <v>60808</v>
      </c>
      <c r="AK7" s="48">
        <f t="shared" ca="1" si="3"/>
        <v>59713</v>
      </c>
      <c r="AL7" s="48">
        <f t="shared" ca="1" si="3"/>
        <v>60129</v>
      </c>
      <c r="AM7" s="48">
        <f t="shared" ca="1" si="3"/>
        <v>54435</v>
      </c>
      <c r="AN7" s="48">
        <f t="shared" ca="1" si="3"/>
        <v>46226</v>
      </c>
      <c r="AO7" s="48">
        <f t="shared" ca="1" si="3"/>
        <v>40054</v>
      </c>
      <c r="AP7" s="48">
        <f t="shared" ca="1" si="3"/>
        <v>35040</v>
      </c>
      <c r="AQ7" s="48">
        <f t="shared" ca="1" si="3"/>
        <v>30882</v>
      </c>
      <c r="AR7" s="48">
        <f t="shared" ca="1" si="3"/>
        <v>26878</v>
      </c>
      <c r="AS7" s="48">
        <f t="shared" ca="1" si="3"/>
        <v>23064</v>
      </c>
      <c r="AT7" s="48">
        <f t="shared" ca="1" si="3"/>
        <v>19874</v>
      </c>
      <c r="AU7" s="48">
        <f t="shared" ca="1" si="3"/>
        <v>17538</v>
      </c>
      <c r="AV7" s="48">
        <f t="shared" ca="1" si="3"/>
        <v>15635</v>
      </c>
      <c r="AW7" s="48">
        <f t="shared" ca="1" si="3"/>
        <v>12344</v>
      </c>
      <c r="AX7" s="48">
        <f t="shared" ca="1" si="3"/>
        <v>10815</v>
      </c>
      <c r="AY7" s="48">
        <f t="shared" ca="1" si="3"/>
        <v>9503</v>
      </c>
      <c r="AZ7" s="48">
        <f t="shared" ca="1" si="3"/>
        <v>8310</v>
      </c>
      <c r="BA7" s="48">
        <f t="shared" ca="1" si="3"/>
        <v>7380</v>
      </c>
      <c r="BB7" s="48">
        <f t="shared" ca="1" si="3"/>
        <v>6410</v>
      </c>
      <c r="BC7" s="48">
        <f t="shared" ca="1" si="3"/>
        <v>5809</v>
      </c>
      <c r="BD7" s="48">
        <f t="shared" ca="1" si="3"/>
        <v>5326</v>
      </c>
      <c r="BE7" s="48">
        <f t="shared" ca="1" si="3"/>
        <v>4915</v>
      </c>
      <c r="BF7" s="48">
        <f t="shared" ca="1" si="3"/>
        <v>4307</v>
      </c>
      <c r="BG7" s="48">
        <f t="shared" ca="1" si="3"/>
        <v>3925</v>
      </c>
      <c r="BH7" s="48">
        <f t="shared" ca="1" si="3"/>
        <v>3653</v>
      </c>
      <c r="BI7" s="48">
        <f t="shared" ca="1" si="3"/>
        <v>2290</v>
      </c>
      <c r="BJ7" s="48">
        <f t="shared" ca="1" si="3"/>
        <v>0</v>
      </c>
      <c r="BK7" s="48">
        <f ca="1">SUM(BK8:BK11)</f>
        <v>0</v>
      </c>
      <c r="BL7" s="48">
        <f t="shared" ref="BL7:BW7" ca="1" si="4">SUM(BL8:BL11)</f>
        <v>0</v>
      </c>
      <c r="BM7" s="48">
        <f t="shared" ca="1" si="4"/>
        <v>0</v>
      </c>
      <c r="BN7" s="48">
        <f t="shared" ca="1" si="4"/>
        <v>0</v>
      </c>
      <c r="BO7" s="48">
        <f t="shared" ca="1" si="4"/>
        <v>0</v>
      </c>
      <c r="BP7" s="48">
        <f t="shared" ca="1" si="4"/>
        <v>0</v>
      </c>
      <c r="BQ7" s="48">
        <f t="shared" ca="1" si="4"/>
        <v>0</v>
      </c>
      <c r="BR7" s="48">
        <f t="shared" ca="1" si="4"/>
        <v>0</v>
      </c>
      <c r="BS7" s="48">
        <f t="shared" ca="1" si="4"/>
        <v>0</v>
      </c>
      <c r="BT7" s="48">
        <f t="shared" ca="1" si="4"/>
        <v>0</v>
      </c>
      <c r="BU7" s="48">
        <f t="shared" ca="1" si="4"/>
        <v>0</v>
      </c>
      <c r="BV7" s="48">
        <f t="shared" ca="1" si="4"/>
        <v>0</v>
      </c>
      <c r="BW7" s="48">
        <f t="shared" ca="1" si="4"/>
        <v>0</v>
      </c>
    </row>
    <row r="8" spans="1:75" x14ac:dyDescent="0.3">
      <c r="A8" s="5" t="s">
        <v>66</v>
      </c>
      <c r="B8" s="4"/>
      <c r="C8" s="51">
        <f>'Infos - Release Operacional'!C8*'Fluxo de Caixa dos Acionistas'!C$5/1000</f>
        <v>816.09839999999997</v>
      </c>
      <c r="D8" s="51">
        <f>'Infos - Release Operacional'!D8*'Fluxo de Caixa dos Acionistas'!D$5/1000</f>
        <v>801.3642000000001</v>
      </c>
      <c r="E8" s="51">
        <f>'Infos - Release Operacional'!E8*'Fluxo de Caixa dos Acionistas'!E$5/1000</f>
        <v>790.07760000000007</v>
      </c>
      <c r="F8" s="51">
        <f>'Infos - Release Operacional'!F8*'Fluxo de Caixa dos Acionistas'!F$5/1000</f>
        <v>961.63184000000012</v>
      </c>
      <c r="G8" s="51">
        <f>'Infos - Release Operacional'!G8*'Fluxo de Caixa dos Acionistas'!G$5/1000</f>
        <v>3368.42805</v>
      </c>
      <c r="H8" s="51">
        <f>'Infos - Release Operacional'!H8*'Fluxo de Caixa dos Acionistas'!H$5/1000</f>
        <v>890.27640000000019</v>
      </c>
      <c r="I8" s="51">
        <f>'Infos - Release Operacional'!I8*'Fluxo de Caixa dos Acionistas'!I$5/1000</f>
        <v>893.98400000000004</v>
      </c>
      <c r="J8" s="51">
        <f>'Infos - Release Operacional'!J8*'Fluxo de Caixa dos Acionistas'!J$5/1000</f>
        <v>907.58</v>
      </c>
      <c r="K8" s="51">
        <f>'Infos - Release Operacional'!K8*'Fluxo de Caixa dos Acionistas'!K$5/1000</f>
        <v>1254.788</v>
      </c>
      <c r="L8" s="48">
        <f>'Infos - Release Operacional'!L8*'Fluxo de Caixa dos Acionistas'!L$5/1000</f>
        <v>3943.8213500000002</v>
      </c>
      <c r="M8" s="51">
        <f>'Infos - Release Operacional'!M8*'Fluxo de Caixa dos Acionistas'!M$5/1000</f>
        <v>1234.2329999999999</v>
      </c>
      <c r="N8" s="51">
        <f>'Infos - Release Operacional'!N8*'Fluxo de Caixa dos Acionistas'!N$5/1000</f>
        <v>1217.58</v>
      </c>
      <c r="O8" s="51">
        <f>'Infos - Release Operacional'!O8*'Fluxo de Caixa dos Acionistas'!O$5/1000</f>
        <v>1181.096</v>
      </c>
      <c r="P8" s="51">
        <f>'Infos - Release Operacional'!P8*'Fluxo de Caixa dos Acionistas'!P$5/1000</f>
        <v>1097.376</v>
      </c>
      <c r="Q8" s="48">
        <f>'Infos - Release Operacional'!Q8*'Fluxo de Caixa dos Acionistas'!Q$5/1000</f>
        <v>4731.3734999999997</v>
      </c>
      <c r="R8" s="51">
        <f>'Infos - Release Operacional'!R8*'Fluxo de Caixa dos Acionistas'!R$5/1000</f>
        <v>1357.74</v>
      </c>
      <c r="S8" s="51">
        <f>'Infos - Release Operacional'!S8*'Fluxo de Caixa dos Acionistas'!S$5/1000</f>
        <v>1359.6310000000001</v>
      </c>
      <c r="T8" s="51">
        <f>'Infos - Release Operacional'!T8*'Fluxo de Caixa dos Acionistas'!T$5/1000</f>
        <v>1508.616</v>
      </c>
      <c r="U8" s="51">
        <f>'Infos - Release Operacional'!U8*'Fluxo de Caixa dos Acionistas'!U$5/1000</f>
        <v>1382.576</v>
      </c>
      <c r="V8" s="48">
        <f>'Infos - Release Operacional'!V8*'Fluxo de Caixa dos Acionistas'!V$5/1000</f>
        <v>5607.5862500000003</v>
      </c>
      <c r="W8" s="51">
        <f>'Infos - Release Operacional'!W8*'Fluxo de Caixa dos Acionistas'!W$5/1000</f>
        <v>1416.51</v>
      </c>
      <c r="X8" s="51">
        <f>'Infos - Release Operacional'!X8*'Fluxo de Caixa dos Acionistas'!X$5/1000</f>
        <v>1343.069</v>
      </c>
      <c r="Y8" s="51">
        <f>'Infos - Release Operacional'!Y8*'Fluxo de Caixa dos Acionistas'!Y$5/1000</f>
        <v>2576.5520000000001</v>
      </c>
      <c r="Z8" s="51">
        <f>'Infos - Release Operacional'!Z8*'Fluxo de Caixa dos Acionistas'!Z$5/1000</f>
        <v>2967.3679999999999</v>
      </c>
      <c r="AA8" s="48">
        <f>'Infos - Release Operacional'!AA8*'Fluxo de Caixa dos Acionistas'!AA$5/1000</f>
        <v>8281.6674999999996</v>
      </c>
      <c r="AB8" s="51">
        <f>'Infos - Release Operacional'!AB8*'Fluxo de Caixa dos Acionistas'!AB$5/1000</f>
        <v>3044.97</v>
      </c>
      <c r="AC8" s="51">
        <f>'Infos - Release Operacional'!AC8*'Fluxo de Caixa dos Acionistas'!AC$5/1000</f>
        <v>4625.0749999999998</v>
      </c>
      <c r="AD8" s="51">
        <f>'Infos - Release Operacional'!AD8*'Fluxo de Caixa dos Acionistas'!AD$5/1000</f>
        <v>5211.1559999999999</v>
      </c>
      <c r="AE8" s="51">
        <f>'Infos - Release Operacional'!AE8*'Fluxo de Caixa dos Acionistas'!AE$5/1000</f>
        <v>5091.74</v>
      </c>
      <c r="AF8" s="48">
        <f>'Infos - Release Operacional'!AF8*'Fluxo de Caixa dos Acionistas'!AF$5/1000</f>
        <v>17943.947499999998</v>
      </c>
      <c r="AG8" s="199">
        <f ca="1">SUMIFS(INDIRECT("'"&amp;$A8&amp;$B$3&amp;"'!"&amp;"$G:$G"),INDIRECT("'"&amp;$A8&amp;$B$3&amp;"'!"&amp;"$A:$A"),'Receita Líquida - O&amp;G'!AG$1)</f>
        <v>23335</v>
      </c>
      <c r="AH8" s="199">
        <f ca="1">SUMIFS(INDIRECT("'"&amp;$A8&amp;$B$3&amp;"'!"&amp;"$G:$G"),INDIRECT("'"&amp;$A8&amp;$B$3&amp;"'!"&amp;"$A:$A"),'Receita Líquida - O&amp;G'!AH$1)</f>
        <v>28383</v>
      </c>
      <c r="AI8" s="199">
        <f ca="1">SUMIFS(INDIRECT("'"&amp;$A8&amp;$B$3&amp;"'!"&amp;"$G:$G"),INDIRECT("'"&amp;$A8&amp;$B$3&amp;"'!"&amp;"$A:$A"),'Receita Líquida - O&amp;G'!AI$1)</f>
        <v>25695</v>
      </c>
      <c r="AJ8" s="199">
        <f ca="1">SUMIFS(INDIRECT("'"&amp;$A8&amp;$B$3&amp;"'!"&amp;"$G:$G"),INDIRECT("'"&amp;$A8&amp;$B$3&amp;"'!"&amp;"$A:$A"),'Receita Líquida - O&amp;G'!AJ$1)</f>
        <v>23434</v>
      </c>
      <c r="AK8" s="199">
        <f ca="1">SUMIFS(INDIRECT("'"&amp;$A8&amp;$B$3&amp;"'!"&amp;"$G:$G"),INDIRECT("'"&amp;$A8&amp;$B$3&amp;"'!"&amp;"$A:$A"),'Receita Líquida - O&amp;G'!AK$1)</f>
        <v>21375</v>
      </c>
      <c r="AL8" s="199">
        <f ca="1">SUMIFS(INDIRECT("'"&amp;$A8&amp;$B$3&amp;"'!"&amp;"$G:$G"),INDIRECT("'"&amp;$A8&amp;$B$3&amp;"'!"&amp;"$A:$A"),'Receita Líquida - O&amp;G'!AL$1)</f>
        <v>18543</v>
      </c>
      <c r="AM8" s="199">
        <f ca="1">SUMIFS(INDIRECT("'"&amp;$A8&amp;$B$3&amp;"'!"&amp;"$G:$G"),INDIRECT("'"&amp;$A8&amp;$B$3&amp;"'!"&amp;"$A:$A"),'Receita Líquida - O&amp;G'!AM$1)</f>
        <v>15132</v>
      </c>
      <c r="AN8" s="199">
        <f ca="1">SUMIFS(INDIRECT("'"&amp;$A8&amp;$B$3&amp;"'!"&amp;"$G:$G"),INDIRECT("'"&amp;$A8&amp;$B$3&amp;"'!"&amp;"$A:$A"),'Receita Líquida - O&amp;G'!AN$1)</f>
        <v>12677</v>
      </c>
      <c r="AO8" s="199">
        <f ca="1">SUMIFS(INDIRECT("'"&amp;$A8&amp;$B$3&amp;"'!"&amp;"$G:$G"),INDIRECT("'"&amp;$A8&amp;$B$3&amp;"'!"&amp;"$A:$A"),'Receita Líquida - O&amp;G'!AO$1)</f>
        <v>11218</v>
      </c>
      <c r="AP8" s="199">
        <f ca="1">SUMIFS(INDIRECT("'"&amp;$A8&amp;$B$3&amp;"'!"&amp;"$G:$G"),INDIRECT("'"&amp;$A8&amp;$B$3&amp;"'!"&amp;"$A:$A"),'Receita Líquida - O&amp;G'!AP$1)</f>
        <v>10314</v>
      </c>
      <c r="AQ8" s="199">
        <f ca="1">SUMIFS(INDIRECT("'"&amp;$A8&amp;$B$3&amp;"'!"&amp;"$G:$G"),INDIRECT("'"&amp;$A8&amp;$B$3&amp;"'!"&amp;"$A:$A"),'Receita Líquida - O&amp;G'!AQ$1)</f>
        <v>9567</v>
      </c>
      <c r="AR8" s="199">
        <f ca="1">SUMIFS(INDIRECT("'"&amp;$A8&amp;$B$3&amp;"'!"&amp;"$G:$G"),INDIRECT("'"&amp;$A8&amp;$B$3&amp;"'!"&amp;"$A:$A"),'Receita Líquida - O&amp;G'!AR$1)</f>
        <v>8640</v>
      </c>
      <c r="AS8" s="199">
        <f ca="1">SUMIFS(INDIRECT("'"&amp;$A8&amp;$B$3&amp;"'!"&amp;"$G:$G"),INDIRECT("'"&amp;$A8&amp;$B$3&amp;"'!"&amp;"$A:$A"),'Receita Líquida - O&amp;G'!AS$1)</f>
        <v>7314</v>
      </c>
      <c r="AT8" s="199">
        <f ca="1">SUMIFS(INDIRECT("'"&amp;$A8&amp;$B$3&amp;"'!"&amp;"$G:$G"),INDIRECT("'"&amp;$A8&amp;$B$3&amp;"'!"&amp;"$A:$A"),'Receita Líquida - O&amp;G'!AT$1)</f>
        <v>6315</v>
      </c>
      <c r="AU8" s="199">
        <f ca="1">SUMIFS(INDIRECT("'"&amp;$A8&amp;$B$3&amp;"'!"&amp;"$G:$G"),INDIRECT("'"&amp;$A8&amp;$B$3&amp;"'!"&amp;"$A:$A"),'Receita Líquida - O&amp;G'!AU$1)</f>
        <v>5619</v>
      </c>
      <c r="AV8" s="199">
        <f ca="1">SUMIFS(INDIRECT("'"&amp;$A8&amp;$B$3&amp;"'!"&amp;"$G:$G"),INDIRECT("'"&amp;$A8&amp;$B$3&amp;"'!"&amp;"$A:$A"),'Receita Líquida - O&amp;G'!AV$1)</f>
        <v>5047</v>
      </c>
      <c r="AW8" s="199">
        <f ca="1">SUMIFS(INDIRECT("'"&amp;$A8&amp;$B$3&amp;"'!"&amp;"$G:$G"),INDIRECT("'"&amp;$A8&amp;$B$3&amp;"'!"&amp;"$A:$A"),'Receita Líquida - O&amp;G'!AW$1)</f>
        <v>4566</v>
      </c>
      <c r="AX8" s="199">
        <f ca="1">SUMIFS(INDIRECT("'"&amp;$A8&amp;$B$3&amp;"'!"&amp;"$G:$G"),INDIRECT("'"&amp;$A8&amp;$B$3&amp;"'!"&amp;"$A:$A"),'Receita Líquida - O&amp;G'!AX$1)</f>
        <v>4128</v>
      </c>
      <c r="AY8" s="199">
        <f ca="1">SUMIFS(INDIRECT("'"&amp;$A8&amp;$B$3&amp;"'!"&amp;"$G:$G"),INDIRECT("'"&amp;$A8&amp;$B$3&amp;"'!"&amp;"$A:$A"),'Receita Líquida - O&amp;G'!AY$1)</f>
        <v>3760</v>
      </c>
      <c r="AZ8" s="199">
        <f ca="1">SUMIFS(INDIRECT("'"&amp;$A8&amp;$B$3&amp;"'!"&amp;"$G:$G"),INDIRECT("'"&amp;$A8&amp;$B$3&amp;"'!"&amp;"$A:$A"),'Receita Líquida - O&amp;G'!AZ$1)</f>
        <v>3440</v>
      </c>
      <c r="BA8" s="199">
        <f ca="1">SUMIFS(INDIRECT("'"&amp;$A8&amp;$B$3&amp;"'!"&amp;"$G:$G"),INDIRECT("'"&amp;$A8&amp;$B$3&amp;"'!"&amp;"$A:$A"),'Receita Líquida - O&amp;G'!BA$1)</f>
        <v>3176</v>
      </c>
      <c r="BB8" s="199">
        <f ca="1">SUMIFS(INDIRECT("'"&amp;$A8&amp;$B$3&amp;"'!"&amp;"$G:$G"),INDIRECT("'"&amp;$A8&amp;$B$3&amp;"'!"&amp;"$A:$A"),'Receita Líquida - O&amp;G'!BB$1)</f>
        <v>2893</v>
      </c>
      <c r="BC8" s="199">
        <f ca="1">SUMIFS(INDIRECT("'"&amp;$A8&amp;$B$3&amp;"'!"&amp;"$G:$G"),INDIRECT("'"&amp;$A8&amp;$B$3&amp;"'!"&amp;"$A:$A"),'Receita Líquida - O&amp;G'!BC$1)</f>
        <v>2682</v>
      </c>
      <c r="BD8" s="199">
        <f ca="1">SUMIFS(INDIRECT("'"&amp;$A8&amp;$B$3&amp;"'!"&amp;"$G:$G"),INDIRECT("'"&amp;$A8&amp;$B$3&amp;"'!"&amp;"$A:$A"),'Receita Líquida - O&amp;G'!BD$1)</f>
        <v>2501</v>
      </c>
      <c r="BE8" s="199">
        <f ca="1">SUMIFS(INDIRECT("'"&amp;$A8&amp;$B$3&amp;"'!"&amp;"$G:$G"),INDIRECT("'"&amp;$A8&amp;$B$3&amp;"'!"&amp;"$A:$A"),'Receita Líquida - O&amp;G'!BE$1)</f>
        <v>2346</v>
      </c>
      <c r="BF8" s="199">
        <f ca="1">SUMIFS(INDIRECT("'"&amp;$A8&amp;$B$3&amp;"'!"&amp;"$G:$G"),INDIRECT("'"&amp;$A8&amp;$B$3&amp;"'!"&amp;"$A:$A"),'Receita Líquida - O&amp;G'!BF$1)</f>
        <v>2190</v>
      </c>
      <c r="BG8" s="199">
        <f ca="1">SUMIFS(INDIRECT("'"&amp;$A8&amp;$B$3&amp;"'!"&amp;"$G:$G"),INDIRECT("'"&amp;$A8&amp;$B$3&amp;"'!"&amp;"$A:$A"),'Receita Líquida - O&amp;G'!BG$1)</f>
        <v>2054</v>
      </c>
      <c r="BH8" s="199">
        <f ca="1">SUMIFS(INDIRECT("'"&amp;$A8&amp;$B$3&amp;"'!"&amp;"$G:$G"),INDIRECT("'"&amp;$A8&amp;$B$3&amp;"'!"&amp;"$A:$A"),'Receita Líquida - O&amp;G'!BH$1)</f>
        <v>1930</v>
      </c>
      <c r="BI8" s="199">
        <f ca="1">SUMIFS(INDIRECT("'"&amp;$A8&amp;$B$3&amp;"'!"&amp;"$G:$G"),INDIRECT("'"&amp;$A8&amp;$B$3&amp;"'!"&amp;"$A:$A"),'Receita Líquida - O&amp;G'!BI$1)</f>
        <v>1313</v>
      </c>
      <c r="BJ8" s="199">
        <f ca="1">SUMIFS(INDIRECT("'"&amp;$A8&amp;$B$3&amp;"'!"&amp;"$G:$G"),INDIRECT("'"&amp;$A8&amp;$B$3&amp;"'!"&amp;"$A:$A"),'Receita Líquida - O&amp;G'!BJ$1)</f>
        <v>0</v>
      </c>
      <c r="BK8" s="199">
        <f ca="1">SUMIFS(INDIRECT("'"&amp;$A8&amp;$B$3&amp;"'!"&amp;"$G:$G"),INDIRECT("'"&amp;$A8&amp;$B$3&amp;"'!"&amp;"$A:$A"),'Receita Líquida - O&amp;G'!BK$1)</f>
        <v>0</v>
      </c>
      <c r="BL8" s="199">
        <f ca="1">SUMIFS(INDIRECT("'"&amp;$A8&amp;$B$3&amp;"'!"&amp;"$G:$G"),INDIRECT("'"&amp;$A8&amp;$B$3&amp;"'!"&amp;"$A:$A"),'Receita Líquida - O&amp;G'!BL$1)</f>
        <v>0</v>
      </c>
      <c r="BM8" s="199">
        <f ca="1">SUMIFS(INDIRECT("'"&amp;$A8&amp;$B$3&amp;"'!"&amp;"$G:$G"),INDIRECT("'"&amp;$A8&amp;$B$3&amp;"'!"&amp;"$A:$A"),'Receita Líquida - O&amp;G'!BM$1)</f>
        <v>0</v>
      </c>
      <c r="BN8" s="199">
        <f ca="1">SUMIFS(INDIRECT("'"&amp;$A8&amp;$B$3&amp;"'!"&amp;"$G:$G"),INDIRECT("'"&amp;$A8&amp;$B$3&amp;"'!"&amp;"$A:$A"),'Receita Líquida - O&amp;G'!BN$1)</f>
        <v>0</v>
      </c>
      <c r="BO8" s="199">
        <f ca="1">SUMIFS(INDIRECT("'"&amp;$A8&amp;$B$3&amp;"'!"&amp;"$G:$G"),INDIRECT("'"&amp;$A8&amp;$B$3&amp;"'!"&amp;"$A:$A"),'Receita Líquida - O&amp;G'!BO$1)</f>
        <v>0</v>
      </c>
      <c r="BP8" s="199">
        <f ca="1">SUMIFS(INDIRECT("'"&amp;$A8&amp;$B$3&amp;"'!"&amp;"$G:$G"),INDIRECT("'"&amp;$A8&amp;$B$3&amp;"'!"&amp;"$A:$A"),'Receita Líquida - O&amp;G'!BP$1)</f>
        <v>0</v>
      </c>
      <c r="BQ8" s="199">
        <f ca="1">SUMIFS(INDIRECT("'"&amp;$A8&amp;$B$3&amp;"'!"&amp;"$G:$G"),INDIRECT("'"&amp;$A8&amp;$B$3&amp;"'!"&amp;"$A:$A"),'Receita Líquida - O&amp;G'!BQ$1)</f>
        <v>0</v>
      </c>
      <c r="BR8" s="199">
        <f ca="1">SUMIFS(INDIRECT("'"&amp;$A8&amp;$B$3&amp;"'!"&amp;"$G:$G"),INDIRECT("'"&amp;$A8&amp;$B$3&amp;"'!"&amp;"$A:$A"),'Receita Líquida - O&amp;G'!BR$1)</f>
        <v>0</v>
      </c>
      <c r="BS8" s="199">
        <f ca="1">SUMIFS(INDIRECT("'"&amp;$A8&amp;$B$3&amp;"'!"&amp;"$G:$G"),INDIRECT("'"&amp;$A8&amp;$B$3&amp;"'!"&amp;"$A:$A"),'Receita Líquida - O&amp;G'!BS$1)</f>
        <v>0</v>
      </c>
      <c r="BT8" s="199">
        <f ca="1">SUMIFS(INDIRECT("'"&amp;$A8&amp;$B$3&amp;"'!"&amp;"$G:$G"),INDIRECT("'"&amp;$A8&amp;$B$3&amp;"'!"&amp;"$A:$A"),'Receita Líquida - O&amp;G'!BT$1)</f>
        <v>0</v>
      </c>
      <c r="BU8" s="199">
        <f ca="1">SUMIFS(INDIRECT("'"&amp;$A8&amp;$B$3&amp;"'!"&amp;"$G:$G"),INDIRECT("'"&amp;$A8&amp;$B$3&amp;"'!"&amp;"$A:$A"),'Receita Líquida - O&amp;G'!BU$1)</f>
        <v>0</v>
      </c>
      <c r="BV8" s="199">
        <f ca="1">SUMIFS(INDIRECT("'"&amp;$A8&amp;$B$3&amp;"'!"&amp;"$G:$G"),INDIRECT("'"&amp;$A8&amp;$B$3&amp;"'!"&amp;"$A:$A"),'Receita Líquida - O&amp;G'!BV$1)</f>
        <v>0</v>
      </c>
      <c r="BW8" s="199">
        <f ca="1">SUMIFS(INDIRECT("'"&amp;$A8&amp;$B$3&amp;"'!"&amp;"$G:$G"),INDIRECT("'"&amp;$A8&amp;$B$3&amp;"'!"&amp;"$A:$A"),'Receita Líquida - O&amp;G'!BW$1)</f>
        <v>0</v>
      </c>
    </row>
    <row r="9" spans="1:75" x14ac:dyDescent="0.3">
      <c r="A9" s="5" t="s">
        <v>67</v>
      </c>
      <c r="B9" s="4"/>
      <c r="C9" s="51">
        <f>'Infos - Release Operacional'!C11*'Fluxo de Caixa dos Acionistas'!C$5/1000</f>
        <v>262.89</v>
      </c>
      <c r="D9" s="51">
        <f>'Infos - Release Operacional'!D11*'Fluxo de Caixa dos Acionistas'!D$5/1000</f>
        <v>278.45999999999998</v>
      </c>
      <c r="E9" s="51">
        <f>'Infos - Release Operacional'!E11*'Fluxo de Caixa dos Acionistas'!E$5/1000</f>
        <v>302.77199999999999</v>
      </c>
      <c r="F9" s="51">
        <f>'Infos - Release Operacional'!F11*'Fluxo de Caixa dos Acionistas'!F$5/1000</f>
        <v>278.3</v>
      </c>
      <c r="G9" s="51">
        <f>'Infos - Release Operacional'!G11*'Fluxo de Caixa dos Acionistas'!G$5/1000</f>
        <v>1122.1012499999999</v>
      </c>
      <c r="H9" s="51">
        <f>'Infos - Release Operacional'!H11*'Fluxo de Caixa dos Acionistas'!H$5/1000</f>
        <v>182.97</v>
      </c>
      <c r="I9" s="51">
        <f>'Infos - Release Operacional'!I11*'Fluxo de Caixa dos Acionistas'!I$5/1000</f>
        <v>161.61600000000001</v>
      </c>
      <c r="J9" s="51">
        <f>'Infos - Release Operacional'!J11*'Fluxo de Caixa dos Acionistas'!J$5/1000</f>
        <v>221.99600000000001</v>
      </c>
      <c r="K9" s="51">
        <f>'Infos - Release Operacional'!K11*'Fluxo de Caixa dos Acionistas'!K$5/1000</f>
        <v>263.02800000000002</v>
      </c>
      <c r="L9" s="48">
        <f>'Infos - Release Operacional'!L11*'Fluxo de Caixa dos Acionistas'!L$5/1000</f>
        <v>828.64125000000001</v>
      </c>
      <c r="M9" s="51">
        <f>'Infos - Release Operacional'!M11*'Fluxo de Caixa dos Acionistas'!M$5/1000</f>
        <v>114.114</v>
      </c>
      <c r="N9" s="51">
        <f>'Infos - Release Operacional'!N11*'Fluxo de Caixa dos Acionistas'!N$5/1000</f>
        <v>64.337000000000003</v>
      </c>
      <c r="O9" s="51">
        <f>'Infos - Release Operacional'!O11*'Fluxo de Caixa dos Acionistas'!O$5/1000</f>
        <v>160.08000000000001</v>
      </c>
      <c r="P9" s="51">
        <f>'Infos - Release Operacional'!P11*'Fluxo de Caixa dos Acionistas'!P$5/1000</f>
        <v>210.22</v>
      </c>
      <c r="Q9" s="48">
        <f>'Infos - Release Operacional'!Q11*'Fluxo de Caixa dos Acionistas'!Q$5/1000</f>
        <v>547.71900000000005</v>
      </c>
      <c r="R9" s="51">
        <f>'Infos - Release Operacional'!R11*'Fluxo de Caixa dos Acionistas'!R$5/1000</f>
        <v>187.56</v>
      </c>
      <c r="S9" s="51">
        <f>'Infos - Release Operacional'!S11*'Fluxo de Caixa dos Acionistas'!S$5/1000</f>
        <v>199.381</v>
      </c>
      <c r="T9" s="51">
        <f>'Infos - Release Operacional'!T11*'Fluxo de Caixa dos Acionistas'!T$5/1000</f>
        <v>170.93600000000001</v>
      </c>
      <c r="U9" s="51">
        <f>'Infos - Release Operacional'!U11*'Fluxo de Caixa dos Acionistas'!U$5/1000</f>
        <v>177.00800000000001</v>
      </c>
      <c r="V9" s="48">
        <f>'Infos - Release Operacional'!V11*'Fluxo de Caixa dos Acionistas'!V$5/1000</f>
        <v>735.20124999999996</v>
      </c>
      <c r="W9" s="51">
        <f>'Infos - Release Operacional'!W11*'Fluxo de Caixa dos Acionistas'!W$5/1000</f>
        <v>172.17</v>
      </c>
      <c r="X9" s="51">
        <f>'Infos - Release Operacional'!X11*'Fluxo de Caixa dos Acionistas'!X$5/1000</f>
        <v>162.25299999999999</v>
      </c>
      <c r="Y9" s="51">
        <f>'Infos - Release Operacional'!Y11*'Fluxo de Caixa dos Acionistas'!Y$5/1000</f>
        <v>134.136</v>
      </c>
      <c r="Z9" s="51">
        <f>'Infos - Release Operacional'!Z11*'Fluxo de Caixa dos Acionistas'!Z$5/1000</f>
        <v>67.436000000000007</v>
      </c>
      <c r="AA9" s="48">
        <f>'Infos - Release Operacional'!AA11*'Fluxo de Caixa dos Acionistas'!AA$5/1000</f>
        <v>537.18875000000003</v>
      </c>
      <c r="AB9" s="51">
        <f>'Infos - Release Operacional'!AB11*'Fluxo de Caixa dos Acionistas'!AB$5/1000</f>
        <v>0</v>
      </c>
      <c r="AC9" s="51">
        <f>'Infos - Release Operacional'!AC11*'Fluxo de Caixa dos Acionistas'!AC$5/1000</f>
        <v>0</v>
      </c>
      <c r="AD9" s="51">
        <f>'Infos - Release Operacional'!AD11*'Fluxo de Caixa dos Acionistas'!AD$5/1000</f>
        <v>0</v>
      </c>
      <c r="AE9" s="51">
        <f>'Infos - Release Operacional'!AE11*'Fluxo de Caixa dos Acionistas'!AE$5/1000</f>
        <v>0</v>
      </c>
      <c r="AF9" s="48">
        <f>'Infos - Release Operacional'!AF11*'Fluxo de Caixa dos Acionistas'!AF$5/1000</f>
        <v>0</v>
      </c>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c r="BF9" s="198"/>
      <c r="BG9" s="198"/>
      <c r="BH9" s="198"/>
      <c r="BI9" s="198"/>
      <c r="BJ9" s="198"/>
      <c r="BK9" s="198"/>
      <c r="BL9" s="198"/>
      <c r="BM9" s="198"/>
      <c r="BN9" s="198"/>
      <c r="BO9" s="198"/>
      <c r="BP9" s="198"/>
      <c r="BQ9" s="198"/>
      <c r="BR9" s="198"/>
      <c r="BS9" s="198"/>
      <c r="BT9" s="198"/>
      <c r="BU9" s="198"/>
      <c r="BV9" s="198"/>
      <c r="BW9" s="198"/>
    </row>
    <row r="10" spans="1:75" x14ac:dyDescent="0.3">
      <c r="A10" s="5" t="s">
        <v>69</v>
      </c>
      <c r="B10" s="4"/>
      <c r="C10" s="51">
        <f>'Infos - Release Operacional'!C10*'Fluxo de Caixa dos Acionistas'!C$5/1000</f>
        <v>553.77</v>
      </c>
      <c r="D10" s="51">
        <f>'Infos - Release Operacional'!D10*'Fluxo de Caixa dos Acionistas'!D$5/1000</f>
        <v>742.28700000000003</v>
      </c>
      <c r="E10" s="51">
        <f>'Infos - Release Operacional'!E10*'Fluxo de Caixa dos Acionistas'!E$5/1000</f>
        <v>927.452</v>
      </c>
      <c r="F10" s="51">
        <f>'Infos - Release Operacional'!F10*'Fluxo de Caixa dos Acionistas'!F$5/1000</f>
        <v>925.06</v>
      </c>
      <c r="G10" s="51">
        <f>'Infos - Release Operacional'!G10*'Fluxo de Caixa dos Acionistas'!G$5/1000</f>
        <v>3143.1975000000002</v>
      </c>
      <c r="H10" s="51">
        <f>'Infos - Release Operacional'!H10*'Fluxo de Caixa dos Acionistas'!H$5/1000</f>
        <v>861.03</v>
      </c>
      <c r="I10" s="51">
        <f>'Infos - Release Operacional'!I10*'Fluxo de Caixa dos Acionistas'!I$5/1000</f>
        <v>775.59299999999996</v>
      </c>
      <c r="J10" s="51">
        <f>'Infos - Release Operacional'!J10*'Fluxo de Caixa dos Acionistas'!J$5/1000</f>
        <v>742.44</v>
      </c>
      <c r="K10" s="51">
        <f>'Infos - Release Operacional'!K10*'Fluxo de Caixa dos Acionistas'!K$5/1000</f>
        <v>687.976</v>
      </c>
      <c r="L10" s="48">
        <f>'Infos - Release Operacional'!L10*'Fluxo de Caixa dos Acionistas'!L$5/1000</f>
        <v>3069.4675000000002</v>
      </c>
      <c r="M10" s="51">
        <f>'Infos - Release Operacional'!M10*'Fluxo de Caixa dos Acionistas'!M$5/1000</f>
        <v>784.42</v>
      </c>
      <c r="N10" s="51">
        <f>'Infos - Release Operacional'!N10*'Fluxo de Caixa dos Acionistas'!N$5/1000</f>
        <v>859.58600000000001</v>
      </c>
      <c r="O10" s="51">
        <f>'Infos - Release Operacional'!O10*'Fluxo de Caixa dos Acionistas'!O$5/1000</f>
        <v>1357.184</v>
      </c>
      <c r="P10" s="51">
        <f>'Infos - Release Operacional'!P10*'Fluxo de Caixa dos Acionistas'!P$5/1000</f>
        <v>1451.4839999999999</v>
      </c>
      <c r="Q10" s="48">
        <f>'Infos - Release Operacional'!Q10*'Fluxo de Caixa dos Acionistas'!Q$5/1000</f>
        <v>4446.4425000000001</v>
      </c>
      <c r="R10" s="51">
        <f>'Infos - Release Operacional'!R10*'Fluxo de Caixa dos Acionistas'!R$5/1000</f>
        <v>1273.23</v>
      </c>
      <c r="S10" s="51">
        <f>'Infos - Release Operacional'!S10*'Fluxo de Caixa dos Acionistas'!S$5/1000</f>
        <v>1282.463</v>
      </c>
      <c r="T10" s="51">
        <f>'Infos - Release Operacional'!T10*'Fluxo de Caixa dos Acionistas'!T$5/1000</f>
        <v>1228.752</v>
      </c>
      <c r="U10" s="51">
        <f>'Infos - Release Operacional'!U10*'Fluxo de Caixa dos Acionistas'!U$5/1000</f>
        <v>1411.924</v>
      </c>
      <c r="V10" s="48">
        <f>'Infos - Release Operacional'!V10*'Fluxo de Caixa dos Acionistas'!V$5/1000</f>
        <v>5196.0487499999999</v>
      </c>
      <c r="W10" s="51">
        <f>'Infos - Release Operacional'!W10*'Fluxo de Caixa dos Acionistas'!W$5/1000</f>
        <v>1578.33</v>
      </c>
      <c r="X10" s="51">
        <f>'Infos - Release Operacional'!X10*'Fluxo de Caixa dos Acionistas'!X$5/1000</f>
        <v>1525.3420000000001</v>
      </c>
      <c r="Y10" s="51">
        <f>'Infos - Release Operacional'!Y10*'Fluxo de Caixa dos Acionistas'!Y$5/1000</f>
        <v>1499.7840000000001</v>
      </c>
      <c r="Z10" s="51">
        <f>'Infos - Release Operacional'!Z10*'Fluxo de Caixa dos Acionistas'!Z$5/1000</f>
        <v>1346.328</v>
      </c>
      <c r="AA10" s="48">
        <f>'Infos - Release Operacional'!AA10*'Fluxo de Caixa dos Acionistas'!AA$5/1000</f>
        <v>5952.6937500000004</v>
      </c>
      <c r="AB10" s="51">
        <f>'Infos - Release Operacional'!AB10*'Fluxo de Caixa dos Acionistas'!AB$5/1000</f>
        <v>1122.75</v>
      </c>
      <c r="AC10" s="51">
        <f>'Infos - Release Operacional'!AC10*'Fluxo de Caixa dos Acionistas'!AC$5/1000</f>
        <v>1603.1469999999999</v>
      </c>
      <c r="AD10" s="51">
        <f>'Infos - Release Operacional'!AD10*'Fluxo de Caixa dos Acionistas'!AD$5/1000</f>
        <v>1486.1679999999999</v>
      </c>
      <c r="AE10" s="51">
        <f>'Infos - Release Operacional'!AE10*'Fluxo de Caixa dos Acionistas'!AE$5/1000</f>
        <v>1522.7840000000001</v>
      </c>
      <c r="AF10" s="48">
        <f>'Infos - Release Operacional'!AF10*'Fluxo de Caixa dos Acionistas'!AF$5/1000</f>
        <v>5730.3175000000001</v>
      </c>
      <c r="AG10" s="199">
        <f ca="1">SUMIFS(INDIRECT("'"&amp;$A10&amp;$B$3&amp;"'!"&amp;"$G:$G"),INDIRECT("'"&amp;$A10&amp;$B$3&amp;"'!"&amp;"$A:$A"),'Receita Líquida - O&amp;G'!AG$1)</f>
        <v>5842</v>
      </c>
      <c r="AH10" s="199">
        <f ca="1">SUMIFS(INDIRECT("'"&amp;$A10&amp;$B$3&amp;"'!"&amp;"$G:$G"),INDIRECT("'"&amp;$A10&amp;$B$3&amp;"'!"&amp;"$A:$A"),'Receita Líquida - O&amp;G'!AH$1)</f>
        <v>6560</v>
      </c>
      <c r="AI10" s="199">
        <f ca="1">SUMIFS(INDIRECT("'"&amp;$A10&amp;$B$3&amp;"'!"&amp;"$G:$G"),INDIRECT("'"&amp;$A10&amp;$B$3&amp;"'!"&amp;"$A:$A"),'Receita Líquida - O&amp;G'!AI$1)</f>
        <v>6471</v>
      </c>
      <c r="AJ10" s="199">
        <f ca="1">SUMIFS(INDIRECT("'"&amp;$A10&amp;$B$3&amp;"'!"&amp;"$G:$G"),INDIRECT("'"&amp;$A10&amp;$B$3&amp;"'!"&amp;"$A:$A"),'Receita Líquida - O&amp;G'!AJ$1)</f>
        <v>6274</v>
      </c>
      <c r="AK10" s="199">
        <f ca="1">SUMIFS(INDIRECT("'"&amp;$A10&amp;$B$3&amp;"'!"&amp;"$G:$G"),INDIRECT("'"&amp;$A10&amp;$B$3&amp;"'!"&amp;"$A:$A"),'Receita Líquida - O&amp;G'!AK$1)</f>
        <v>5606</v>
      </c>
      <c r="AL10" s="199">
        <f ca="1">SUMIFS(INDIRECT("'"&amp;$A10&amp;$B$3&amp;"'!"&amp;"$G:$G"),INDIRECT("'"&amp;$A10&amp;$B$3&amp;"'!"&amp;"$A:$A"),'Receita Líquida - O&amp;G'!AL$1)</f>
        <v>4983</v>
      </c>
      <c r="AM10" s="199">
        <f ca="1">SUMIFS(INDIRECT("'"&amp;$A10&amp;$B$3&amp;"'!"&amp;"$G:$G"),INDIRECT("'"&amp;$A10&amp;$B$3&amp;"'!"&amp;"$A:$A"),'Receita Líquida - O&amp;G'!AM$1)</f>
        <v>4466</v>
      </c>
      <c r="AN10" s="199">
        <f ca="1">SUMIFS(INDIRECT("'"&amp;$A10&amp;$B$3&amp;"'!"&amp;"$G:$G"),INDIRECT("'"&amp;$A10&amp;$B$3&amp;"'!"&amp;"$A:$A"),'Receita Líquida - O&amp;G'!AN$1)</f>
        <v>3990</v>
      </c>
      <c r="AO10" s="199">
        <f ca="1">SUMIFS(INDIRECT("'"&amp;$A10&amp;$B$3&amp;"'!"&amp;"$G:$G"),INDIRECT("'"&amp;$A10&amp;$B$3&amp;"'!"&amp;"$A:$A"),'Receita Líquida - O&amp;G'!AO$1)</f>
        <v>3590</v>
      </c>
      <c r="AP10" s="199">
        <f ca="1">SUMIFS(INDIRECT("'"&amp;$A10&amp;$B$3&amp;"'!"&amp;"$G:$G"),INDIRECT("'"&amp;$A10&amp;$B$3&amp;"'!"&amp;"$A:$A"),'Receita Líquida - O&amp;G'!AP$1)</f>
        <v>3208</v>
      </c>
      <c r="AQ10" s="199">
        <f ca="1">SUMIFS(INDIRECT("'"&amp;$A10&amp;$B$3&amp;"'!"&amp;"$G:$G"),INDIRECT("'"&amp;$A10&amp;$B$3&amp;"'!"&amp;"$A:$A"),'Receita Líquida - O&amp;G'!AQ$1)</f>
        <v>2896</v>
      </c>
      <c r="AR10" s="199">
        <f ca="1">SUMIFS(INDIRECT("'"&amp;$A10&amp;$B$3&amp;"'!"&amp;"$G:$G"),INDIRECT("'"&amp;$A10&amp;$B$3&amp;"'!"&amp;"$A:$A"),'Receita Líquida - O&amp;G'!AR$1)</f>
        <v>2603</v>
      </c>
      <c r="AS10" s="199">
        <f ca="1">SUMIFS(INDIRECT("'"&amp;$A10&amp;$B$3&amp;"'!"&amp;"$G:$G"),INDIRECT("'"&amp;$A10&amp;$B$3&amp;"'!"&amp;"$A:$A"),'Receita Líquida - O&amp;G'!AS$1)</f>
        <v>2352</v>
      </c>
      <c r="AT10" s="199">
        <f ca="1">SUMIFS(INDIRECT("'"&amp;$A10&amp;$B$3&amp;"'!"&amp;"$G:$G"),INDIRECT("'"&amp;$A10&amp;$B$3&amp;"'!"&amp;"$A:$A"),'Receita Líquida - O&amp;G'!AT$1)</f>
        <v>2120</v>
      </c>
      <c r="AU10" s="199">
        <f ca="1">SUMIFS(INDIRECT("'"&amp;$A10&amp;$B$3&amp;"'!"&amp;"$G:$G"),INDIRECT("'"&amp;$A10&amp;$B$3&amp;"'!"&amp;"$A:$A"),'Receita Líquida - O&amp;G'!AU$1)</f>
        <v>1907</v>
      </c>
      <c r="AV10" s="199">
        <f ca="1">SUMIFS(INDIRECT("'"&amp;$A10&amp;$B$3&amp;"'!"&amp;"$G:$G"),INDIRECT("'"&amp;$A10&amp;$B$3&amp;"'!"&amp;"$A:$A"),'Receita Líquida - O&amp;G'!AV$1)</f>
        <v>1731</v>
      </c>
      <c r="AW10" s="199">
        <f ca="1">SUMIFS(INDIRECT("'"&amp;$A10&amp;$B$3&amp;"'!"&amp;"$G:$G"),INDIRECT("'"&amp;$A10&amp;$B$3&amp;"'!"&amp;"$A:$A"),'Receita Líquida - O&amp;G'!AW$1)</f>
        <v>0</v>
      </c>
      <c r="AX10" s="199">
        <f ca="1">SUMIFS(INDIRECT("'"&amp;$A10&amp;$B$3&amp;"'!"&amp;"$G:$G"),INDIRECT("'"&amp;$A10&amp;$B$3&amp;"'!"&amp;"$A:$A"),'Receita Líquida - O&amp;G'!AX$1)</f>
        <v>0</v>
      </c>
      <c r="AY10" s="199">
        <f ca="1">SUMIFS(INDIRECT("'"&amp;$A10&amp;$B$3&amp;"'!"&amp;"$G:$G"),INDIRECT("'"&amp;$A10&amp;$B$3&amp;"'!"&amp;"$A:$A"),'Receita Líquida - O&amp;G'!AY$1)</f>
        <v>0</v>
      </c>
      <c r="AZ10" s="199">
        <f ca="1">SUMIFS(INDIRECT("'"&amp;$A10&amp;$B$3&amp;"'!"&amp;"$G:$G"),INDIRECT("'"&amp;$A10&amp;$B$3&amp;"'!"&amp;"$A:$A"),'Receita Líquida - O&amp;G'!AZ$1)</f>
        <v>0</v>
      </c>
      <c r="BA10" s="199">
        <f ca="1">SUMIFS(INDIRECT("'"&amp;$A10&amp;$B$3&amp;"'!"&amp;"$G:$G"),INDIRECT("'"&amp;$A10&amp;$B$3&amp;"'!"&amp;"$A:$A"),'Receita Líquida - O&amp;G'!BA$1)</f>
        <v>0</v>
      </c>
      <c r="BB10" s="199">
        <f ca="1">SUMIFS(INDIRECT("'"&amp;$A10&amp;$B$3&amp;"'!"&amp;"$G:$G"),INDIRECT("'"&amp;$A10&amp;$B$3&amp;"'!"&amp;"$A:$A"),'Receita Líquida - O&amp;G'!BB$1)</f>
        <v>0</v>
      </c>
      <c r="BC10" s="199">
        <f ca="1">SUMIFS(INDIRECT("'"&amp;$A10&amp;$B$3&amp;"'!"&amp;"$G:$G"),INDIRECT("'"&amp;$A10&amp;$B$3&amp;"'!"&amp;"$A:$A"),'Receita Líquida - O&amp;G'!BC$1)</f>
        <v>0</v>
      </c>
      <c r="BD10" s="199">
        <f ca="1">SUMIFS(INDIRECT("'"&amp;$A10&amp;$B$3&amp;"'!"&amp;"$G:$G"),INDIRECT("'"&amp;$A10&amp;$B$3&amp;"'!"&amp;"$A:$A"),'Receita Líquida - O&amp;G'!BD$1)</f>
        <v>0</v>
      </c>
      <c r="BE10" s="199">
        <f ca="1">SUMIFS(INDIRECT("'"&amp;$A10&amp;$B$3&amp;"'!"&amp;"$G:$G"),INDIRECT("'"&amp;$A10&amp;$B$3&amp;"'!"&amp;"$A:$A"),'Receita Líquida - O&amp;G'!BE$1)</f>
        <v>0</v>
      </c>
      <c r="BF10" s="199">
        <f ca="1">SUMIFS(INDIRECT("'"&amp;$A10&amp;$B$3&amp;"'!"&amp;"$G:$G"),INDIRECT("'"&amp;$A10&amp;$B$3&amp;"'!"&amp;"$A:$A"),'Receita Líquida - O&amp;G'!BF$1)</f>
        <v>0</v>
      </c>
      <c r="BG10" s="199">
        <f ca="1">SUMIFS(INDIRECT("'"&amp;$A10&amp;$B$3&amp;"'!"&amp;"$G:$G"),INDIRECT("'"&amp;$A10&amp;$B$3&amp;"'!"&amp;"$A:$A"),'Receita Líquida - O&amp;G'!BG$1)</f>
        <v>0</v>
      </c>
      <c r="BH10" s="199">
        <f ca="1">SUMIFS(INDIRECT("'"&amp;$A10&amp;$B$3&amp;"'!"&amp;"$G:$G"),INDIRECT("'"&amp;$A10&amp;$B$3&amp;"'!"&amp;"$A:$A"),'Receita Líquida - O&amp;G'!BH$1)</f>
        <v>0</v>
      </c>
      <c r="BI10" s="199">
        <f ca="1">SUMIFS(INDIRECT("'"&amp;$A10&amp;$B$3&amp;"'!"&amp;"$G:$G"),INDIRECT("'"&amp;$A10&amp;$B$3&amp;"'!"&amp;"$A:$A"),'Receita Líquida - O&amp;G'!BI$1)</f>
        <v>0</v>
      </c>
      <c r="BJ10" s="199">
        <f ca="1">SUMIFS(INDIRECT("'"&amp;$A10&amp;$B$3&amp;"'!"&amp;"$G:$G"),INDIRECT("'"&amp;$A10&amp;$B$3&amp;"'!"&amp;"$A:$A"),'Receita Líquida - O&amp;G'!BJ$1)</f>
        <v>0</v>
      </c>
      <c r="BK10" s="199">
        <f ca="1">SUMIFS(INDIRECT("'"&amp;$A10&amp;$B$3&amp;"'!"&amp;"$G:$G"),INDIRECT("'"&amp;$A10&amp;$B$3&amp;"'!"&amp;"$A:$A"),'Receita Líquida - O&amp;G'!BK$1)</f>
        <v>0</v>
      </c>
      <c r="BL10" s="199">
        <f ca="1">SUMIFS(INDIRECT("'"&amp;$A10&amp;$B$3&amp;"'!"&amp;"$G:$G"),INDIRECT("'"&amp;$A10&amp;$B$3&amp;"'!"&amp;"$A:$A"),'Receita Líquida - O&amp;G'!BL$1)</f>
        <v>0</v>
      </c>
      <c r="BM10" s="199">
        <f ca="1">SUMIFS(INDIRECT("'"&amp;$A10&amp;$B$3&amp;"'!"&amp;"$G:$G"),INDIRECT("'"&amp;$A10&amp;$B$3&amp;"'!"&amp;"$A:$A"),'Receita Líquida - O&amp;G'!BM$1)</f>
        <v>0</v>
      </c>
      <c r="BN10" s="199">
        <f ca="1">SUMIFS(INDIRECT("'"&amp;$A10&amp;$B$3&amp;"'!"&amp;"$G:$G"),INDIRECT("'"&amp;$A10&amp;$B$3&amp;"'!"&amp;"$A:$A"),'Receita Líquida - O&amp;G'!BN$1)</f>
        <v>0</v>
      </c>
      <c r="BO10" s="199">
        <f ca="1">SUMIFS(INDIRECT("'"&amp;$A10&amp;$B$3&amp;"'!"&amp;"$G:$G"),INDIRECT("'"&amp;$A10&amp;$B$3&amp;"'!"&amp;"$A:$A"),'Receita Líquida - O&amp;G'!BO$1)</f>
        <v>0</v>
      </c>
      <c r="BP10" s="199">
        <f ca="1">SUMIFS(INDIRECT("'"&amp;$A10&amp;$B$3&amp;"'!"&amp;"$G:$G"),INDIRECT("'"&amp;$A10&amp;$B$3&amp;"'!"&amp;"$A:$A"),'Receita Líquida - O&amp;G'!BP$1)</f>
        <v>0</v>
      </c>
      <c r="BQ10" s="199">
        <f ca="1">SUMIFS(INDIRECT("'"&amp;$A10&amp;$B$3&amp;"'!"&amp;"$G:$G"),INDIRECT("'"&amp;$A10&amp;$B$3&amp;"'!"&amp;"$A:$A"),'Receita Líquida - O&amp;G'!BQ$1)</f>
        <v>0</v>
      </c>
      <c r="BR10" s="199">
        <f ca="1">SUMIFS(INDIRECT("'"&amp;$A10&amp;$B$3&amp;"'!"&amp;"$G:$G"),INDIRECT("'"&amp;$A10&amp;$B$3&amp;"'!"&amp;"$A:$A"),'Receita Líquida - O&amp;G'!BR$1)</f>
        <v>0</v>
      </c>
      <c r="BS10" s="199">
        <f ca="1">SUMIFS(INDIRECT("'"&amp;$A10&amp;$B$3&amp;"'!"&amp;"$G:$G"),INDIRECT("'"&amp;$A10&amp;$B$3&amp;"'!"&amp;"$A:$A"),'Receita Líquida - O&amp;G'!BS$1)</f>
        <v>0</v>
      </c>
      <c r="BT10" s="199">
        <f ca="1">SUMIFS(INDIRECT("'"&amp;$A10&amp;$B$3&amp;"'!"&amp;"$G:$G"),INDIRECT("'"&amp;$A10&amp;$B$3&amp;"'!"&amp;"$A:$A"),'Receita Líquida - O&amp;G'!BT$1)</f>
        <v>0</v>
      </c>
      <c r="BU10" s="199">
        <f ca="1">SUMIFS(INDIRECT("'"&amp;$A10&amp;$B$3&amp;"'!"&amp;"$G:$G"),INDIRECT("'"&amp;$A10&amp;$B$3&amp;"'!"&amp;"$A:$A"),'Receita Líquida - O&amp;G'!BU$1)</f>
        <v>0</v>
      </c>
      <c r="BV10" s="199">
        <f ca="1">SUMIFS(INDIRECT("'"&amp;$A10&amp;$B$3&amp;"'!"&amp;"$G:$G"),INDIRECT("'"&amp;$A10&amp;$B$3&amp;"'!"&amp;"$A:$A"),'Receita Líquida - O&amp;G'!BV$1)</f>
        <v>0</v>
      </c>
      <c r="BW10" s="199">
        <f ca="1">SUMIFS(INDIRECT("'"&amp;$A10&amp;$B$3&amp;"'!"&amp;"$G:$G"),INDIRECT("'"&amp;$A10&amp;$B$3&amp;"'!"&amp;"$A:$A"),'Receita Líquida - O&amp;G'!BW$1)</f>
        <v>0</v>
      </c>
    </row>
    <row r="11" spans="1:75" x14ac:dyDescent="0.3">
      <c r="A11" s="5" t="s">
        <v>68</v>
      </c>
      <c r="B11" s="4"/>
      <c r="C11" s="51">
        <f>'Infos - Release Operacional'!C9*'Fluxo de Caixa dos Acionistas'!C$5/1000</f>
        <v>0</v>
      </c>
      <c r="D11" s="51">
        <f>'Infos - Release Operacional'!D9*'Fluxo de Caixa dos Acionistas'!D$5/1000</f>
        <v>0</v>
      </c>
      <c r="E11" s="51">
        <f>'Infos - Release Operacional'!E9*'Fluxo de Caixa dos Acionistas'!E$5/1000</f>
        <v>0</v>
      </c>
      <c r="F11" s="51">
        <f>'Infos - Release Operacional'!F9*'Fluxo de Caixa dos Acionistas'!F$5/1000</f>
        <v>0</v>
      </c>
      <c r="G11" s="51">
        <f>'Infos - Release Operacional'!G9*'Fluxo de Caixa dos Acionistas'!G$5/1000</f>
        <v>0</v>
      </c>
      <c r="H11" s="51">
        <f>'Infos - Release Operacional'!H9*'Fluxo de Caixa dos Acionistas'!H$5/1000</f>
        <v>0</v>
      </c>
      <c r="I11" s="51">
        <f>'Infos - Release Operacional'!I9*'Fluxo de Caixa dos Acionistas'!I$5/1000</f>
        <v>0</v>
      </c>
      <c r="J11" s="51">
        <f>'Infos - Release Operacional'!J9*'Fluxo de Caixa dos Acionistas'!J$5/1000</f>
        <v>0</v>
      </c>
      <c r="K11" s="51">
        <f>'Infos - Release Operacional'!K9*'Fluxo de Caixa dos Acionistas'!K$5/1000</f>
        <v>0</v>
      </c>
      <c r="L11" s="48">
        <f>'Infos - Release Operacional'!L9*'Fluxo de Caixa dos Acionistas'!L$5/1000</f>
        <v>0</v>
      </c>
      <c r="M11" s="51">
        <f>'Infos - Release Operacional'!M9*'Fluxo de Caixa dos Acionistas'!M$5/1000</f>
        <v>0</v>
      </c>
      <c r="N11" s="51">
        <f>'Infos - Release Operacional'!N9*'Fluxo de Caixa dos Acionistas'!N$5/1000</f>
        <v>0</v>
      </c>
      <c r="O11" s="51">
        <f>'Infos - Release Operacional'!O9*'Fluxo de Caixa dos Acionistas'!O$5/1000</f>
        <v>0</v>
      </c>
      <c r="P11" s="51">
        <f>'Infos - Release Operacional'!P9*'Fluxo de Caixa dos Acionistas'!P$5/1000</f>
        <v>0</v>
      </c>
      <c r="Q11" s="48">
        <f>'Infos - Release Operacional'!Q9*'Fluxo de Caixa dos Acionistas'!Q$5/1000</f>
        <v>0</v>
      </c>
      <c r="R11" s="51">
        <f>'Infos - Release Operacional'!R9*'Fluxo de Caixa dos Acionistas'!R$5/1000</f>
        <v>0</v>
      </c>
      <c r="S11" s="51">
        <f>'Infos - Release Operacional'!S9*'Fluxo de Caixa dos Acionistas'!S$5/1000</f>
        <v>0</v>
      </c>
      <c r="T11" s="51">
        <f>'Infos - Release Operacional'!T9*'Fluxo de Caixa dos Acionistas'!T$5/1000</f>
        <v>0</v>
      </c>
      <c r="U11" s="51">
        <f>'Infos - Release Operacional'!U9*'Fluxo de Caixa dos Acionistas'!U$5/1000</f>
        <v>0</v>
      </c>
      <c r="V11" s="48">
        <f>'Infos - Release Operacional'!V9*'Fluxo de Caixa dos Acionistas'!V$5/1000</f>
        <v>0</v>
      </c>
      <c r="W11" s="51">
        <f>'Infos - Release Operacional'!W9*'Fluxo de Caixa dos Acionistas'!W$5/1000</f>
        <v>0</v>
      </c>
      <c r="X11" s="51">
        <f>'Infos - Release Operacional'!X9*'Fluxo de Caixa dos Acionistas'!X$5/1000</f>
        <v>0</v>
      </c>
      <c r="Y11" s="51">
        <f>'Infos - Release Operacional'!Y9*'Fluxo de Caixa dos Acionistas'!Y$5/1000</f>
        <v>0</v>
      </c>
      <c r="Z11" s="51">
        <f>'Infos - Release Operacional'!Z9*'Fluxo de Caixa dos Acionistas'!Z$5/1000</f>
        <v>0</v>
      </c>
      <c r="AA11" s="48">
        <f>'Infos - Release Operacional'!AA9*'Fluxo de Caixa dos Acionistas'!AA$5/1000</f>
        <v>0</v>
      </c>
      <c r="AB11" s="51">
        <f>'Infos - Release Operacional'!AB9*'Fluxo de Caixa dos Acionistas'!AB$5/1000</f>
        <v>1325.79</v>
      </c>
      <c r="AC11" s="51">
        <f>'Infos - Release Operacional'!AC9*'Fluxo de Caixa dos Acionistas'!AC$5/1000</f>
        <v>2061.241</v>
      </c>
      <c r="AD11" s="51">
        <f>'Infos - Release Operacional'!AD9*'Fluxo de Caixa dos Acionistas'!AD$5/1000</f>
        <v>2494.3960000000002</v>
      </c>
      <c r="AE11" s="51">
        <f>'Infos - Release Operacional'!AE9*'Fluxo de Caixa dos Acionistas'!AE$5/1000</f>
        <v>2613.904</v>
      </c>
      <c r="AF11" s="48">
        <f>'Infos - Release Operacional'!AF9*'Fluxo de Caixa dos Acionistas'!AF$5/1000</f>
        <v>8477.7637500000001</v>
      </c>
      <c r="AG11" s="199">
        <f ca="1">SUMIFS(INDIRECT("'"&amp;$A11&amp;$B$3&amp;"'!"&amp;"$G:$G"),INDIRECT("'"&amp;$A11&amp;$B$3&amp;"'!"&amp;"$A:$A"),'Receita Líquida - O&amp;G'!AG$1)</f>
        <v>12152</v>
      </c>
      <c r="AH11" s="199">
        <f ca="1">SUMIFS(INDIRECT("'"&amp;$A11&amp;$B$3&amp;"'!"&amp;"$G:$G"),INDIRECT("'"&amp;$A11&amp;$B$3&amp;"'!"&amp;"$A:$A"),'Receita Líquida - O&amp;G'!AH$1)</f>
        <v>19285</v>
      </c>
      <c r="AI11" s="199">
        <f ca="1">SUMIFS(INDIRECT("'"&amp;$A11&amp;$B$3&amp;"'!"&amp;"$G:$G"),INDIRECT("'"&amp;$A11&amp;$B$3&amp;"'!"&amp;"$A:$A"),'Receita Líquida - O&amp;G'!AI$1)</f>
        <v>25622</v>
      </c>
      <c r="AJ11" s="199">
        <f ca="1">SUMIFS(INDIRECT("'"&amp;$A11&amp;$B$3&amp;"'!"&amp;"$G:$G"),INDIRECT("'"&amp;$A11&amp;$B$3&amp;"'!"&amp;"$A:$A"),'Receita Líquida - O&amp;G'!AJ$1)</f>
        <v>31100</v>
      </c>
      <c r="AK11" s="199">
        <f ca="1">SUMIFS(INDIRECT("'"&amp;$A11&amp;$B$3&amp;"'!"&amp;"$G:$G"),INDIRECT("'"&amp;$A11&amp;$B$3&amp;"'!"&amp;"$A:$A"),'Receita Líquida - O&amp;G'!AK$1)</f>
        <v>32732</v>
      </c>
      <c r="AL11" s="199">
        <f ca="1">SUMIFS(INDIRECT("'"&amp;$A11&amp;$B$3&amp;"'!"&amp;"$G:$G"),INDIRECT("'"&amp;$A11&amp;$B$3&amp;"'!"&amp;"$A:$A"),'Receita Líquida - O&amp;G'!AL$1)</f>
        <v>36603</v>
      </c>
      <c r="AM11" s="199">
        <f ca="1">SUMIFS(INDIRECT("'"&amp;$A11&amp;$B$3&amp;"'!"&amp;"$G:$G"),INDIRECT("'"&amp;$A11&amp;$B$3&amp;"'!"&amp;"$A:$A"),'Receita Líquida - O&amp;G'!AM$1)</f>
        <v>34837</v>
      </c>
      <c r="AN11" s="199">
        <f ca="1">SUMIFS(INDIRECT("'"&amp;$A11&amp;$B$3&amp;"'!"&amp;"$G:$G"),INDIRECT("'"&amp;$A11&amp;$B$3&amp;"'!"&amp;"$A:$A"),'Receita Líquida - O&amp;G'!AN$1)</f>
        <v>29559</v>
      </c>
      <c r="AO11" s="199">
        <f ca="1">SUMIFS(INDIRECT("'"&amp;$A11&amp;$B$3&amp;"'!"&amp;"$G:$G"),INDIRECT("'"&amp;$A11&amp;$B$3&amp;"'!"&amp;"$A:$A"),'Receita Líquida - O&amp;G'!AO$1)</f>
        <v>25246</v>
      </c>
      <c r="AP11" s="199">
        <f ca="1">SUMIFS(INDIRECT("'"&amp;$A11&amp;$B$3&amp;"'!"&amp;"$G:$G"),INDIRECT("'"&amp;$A11&amp;$B$3&amp;"'!"&amp;"$A:$A"),'Receita Líquida - O&amp;G'!AP$1)</f>
        <v>21518</v>
      </c>
      <c r="AQ11" s="199">
        <f ca="1">SUMIFS(INDIRECT("'"&amp;$A11&amp;$B$3&amp;"'!"&amp;"$G:$G"),INDIRECT("'"&amp;$A11&amp;$B$3&amp;"'!"&amp;"$A:$A"),'Receita Líquida - O&amp;G'!AQ$1)</f>
        <v>18419</v>
      </c>
      <c r="AR11" s="199">
        <f ca="1">SUMIFS(INDIRECT("'"&amp;$A11&amp;$B$3&amp;"'!"&amp;"$G:$G"),INDIRECT("'"&amp;$A11&amp;$B$3&amp;"'!"&amp;"$A:$A"),'Receita Líquida - O&amp;G'!AR$1)</f>
        <v>15635</v>
      </c>
      <c r="AS11" s="199">
        <f ca="1">SUMIFS(INDIRECT("'"&amp;$A11&amp;$B$3&amp;"'!"&amp;"$G:$G"),INDIRECT("'"&amp;$A11&amp;$B$3&amp;"'!"&amp;"$A:$A"),'Receita Líquida - O&amp;G'!AS$1)</f>
        <v>13398</v>
      </c>
      <c r="AT11" s="199">
        <f ca="1">SUMIFS(INDIRECT("'"&amp;$A11&amp;$B$3&amp;"'!"&amp;"$G:$G"),INDIRECT("'"&amp;$A11&amp;$B$3&amp;"'!"&amp;"$A:$A"),'Receita Líquida - O&amp;G'!AT$1)</f>
        <v>11439</v>
      </c>
      <c r="AU11" s="199">
        <f ca="1">SUMIFS(INDIRECT("'"&amp;$A11&amp;$B$3&amp;"'!"&amp;"$G:$G"),INDIRECT("'"&amp;$A11&amp;$B$3&amp;"'!"&amp;"$A:$A"),'Receita Líquida - O&amp;G'!AU$1)</f>
        <v>10012</v>
      </c>
      <c r="AV11" s="199">
        <f ca="1">SUMIFS(INDIRECT("'"&amp;$A11&amp;$B$3&amp;"'!"&amp;"$G:$G"),INDIRECT("'"&amp;$A11&amp;$B$3&amp;"'!"&amp;"$A:$A"),'Receita Líquida - O&amp;G'!AV$1)</f>
        <v>8857</v>
      </c>
      <c r="AW11" s="199">
        <f ca="1">SUMIFS(INDIRECT("'"&amp;$A11&amp;$B$3&amp;"'!"&amp;"$G:$G"),INDIRECT("'"&amp;$A11&amp;$B$3&amp;"'!"&amp;"$A:$A"),'Receita Líquida - O&amp;G'!AW$1)</f>
        <v>7778</v>
      </c>
      <c r="AX11" s="199">
        <f ca="1">SUMIFS(INDIRECT("'"&amp;$A11&amp;$B$3&amp;"'!"&amp;"$G:$G"),INDIRECT("'"&amp;$A11&amp;$B$3&amp;"'!"&amp;"$A:$A"),'Receita Líquida - O&amp;G'!AX$1)</f>
        <v>6687</v>
      </c>
      <c r="AY11" s="199">
        <f ca="1">SUMIFS(INDIRECT("'"&amp;$A11&amp;$B$3&amp;"'!"&amp;"$G:$G"),INDIRECT("'"&amp;$A11&amp;$B$3&amp;"'!"&amp;"$A:$A"),'Receita Líquida - O&amp;G'!AY$1)</f>
        <v>5743</v>
      </c>
      <c r="AZ11" s="199">
        <f ca="1">SUMIFS(INDIRECT("'"&amp;$A11&amp;$B$3&amp;"'!"&amp;"$G:$G"),INDIRECT("'"&amp;$A11&amp;$B$3&amp;"'!"&amp;"$A:$A"),'Receita Líquida - O&amp;G'!AZ$1)</f>
        <v>4870</v>
      </c>
      <c r="BA11" s="199">
        <f ca="1">SUMIFS(INDIRECT("'"&amp;$A11&amp;$B$3&amp;"'!"&amp;"$G:$G"),INDIRECT("'"&amp;$A11&amp;$B$3&amp;"'!"&amp;"$A:$A"),'Receita Líquida - O&amp;G'!BA$1)</f>
        <v>4204</v>
      </c>
      <c r="BB11" s="199">
        <f ca="1">SUMIFS(INDIRECT("'"&amp;$A11&amp;$B$3&amp;"'!"&amp;"$G:$G"),INDIRECT("'"&amp;$A11&amp;$B$3&amp;"'!"&amp;"$A:$A"),'Receita Líquida - O&amp;G'!BB$1)</f>
        <v>3517</v>
      </c>
      <c r="BC11" s="199">
        <f ca="1">SUMIFS(INDIRECT("'"&amp;$A11&amp;$B$3&amp;"'!"&amp;"$G:$G"),INDIRECT("'"&amp;$A11&amp;$B$3&amp;"'!"&amp;"$A:$A"),'Receita Líquida - O&amp;G'!BC$1)</f>
        <v>3127</v>
      </c>
      <c r="BD11" s="199">
        <f ca="1">SUMIFS(INDIRECT("'"&amp;$A11&amp;$B$3&amp;"'!"&amp;"$G:$G"),INDIRECT("'"&amp;$A11&amp;$B$3&amp;"'!"&amp;"$A:$A"),'Receita Líquida - O&amp;G'!BD$1)</f>
        <v>2825</v>
      </c>
      <c r="BE11" s="199">
        <f ca="1">SUMIFS(INDIRECT("'"&amp;$A11&amp;$B$3&amp;"'!"&amp;"$G:$G"),INDIRECT("'"&amp;$A11&amp;$B$3&amp;"'!"&amp;"$A:$A"),'Receita Líquida - O&amp;G'!BE$1)</f>
        <v>2569</v>
      </c>
      <c r="BF11" s="199">
        <f ca="1">SUMIFS(INDIRECT("'"&amp;$A11&amp;$B$3&amp;"'!"&amp;"$G:$G"),INDIRECT("'"&amp;$A11&amp;$B$3&amp;"'!"&amp;"$A:$A"),'Receita Líquida - O&amp;G'!BF$1)</f>
        <v>2117</v>
      </c>
      <c r="BG11" s="199">
        <f ca="1">SUMIFS(INDIRECT("'"&amp;$A11&amp;$B$3&amp;"'!"&amp;"$G:$G"),INDIRECT("'"&amp;$A11&amp;$B$3&amp;"'!"&amp;"$A:$A"),'Receita Líquida - O&amp;G'!BG$1)</f>
        <v>1871</v>
      </c>
      <c r="BH11" s="199">
        <f ca="1">SUMIFS(INDIRECT("'"&amp;$A11&amp;$B$3&amp;"'!"&amp;"$G:$G"),INDIRECT("'"&amp;$A11&amp;$B$3&amp;"'!"&amp;"$A:$A"),'Receita Líquida - O&amp;G'!BH$1)</f>
        <v>1723</v>
      </c>
      <c r="BI11" s="199">
        <f ca="1">SUMIFS(INDIRECT("'"&amp;$A11&amp;$B$3&amp;"'!"&amp;"$G:$G"),INDIRECT("'"&amp;$A11&amp;$B$3&amp;"'!"&amp;"$A:$A"),'Receita Líquida - O&amp;G'!BI$1)</f>
        <v>977</v>
      </c>
      <c r="BJ11" s="199">
        <f ca="1">SUMIFS(INDIRECT("'"&amp;$A11&amp;$B$3&amp;"'!"&amp;"$G:$G"),INDIRECT("'"&amp;$A11&amp;$B$3&amp;"'!"&amp;"$A:$A"),'Receita Líquida - O&amp;G'!BJ$1)</f>
        <v>0</v>
      </c>
      <c r="BK11" s="199">
        <f ca="1">SUMIFS(INDIRECT("'"&amp;$A11&amp;$B$3&amp;"'!"&amp;"$G:$G"),INDIRECT("'"&amp;$A11&amp;$B$3&amp;"'!"&amp;"$A:$A"),'Receita Líquida - O&amp;G'!BK$1)</f>
        <v>0</v>
      </c>
      <c r="BL11" s="199">
        <f ca="1">SUMIFS(INDIRECT("'"&amp;$A11&amp;$B$3&amp;"'!"&amp;"$G:$G"),INDIRECT("'"&amp;$A11&amp;$B$3&amp;"'!"&amp;"$A:$A"),'Receita Líquida - O&amp;G'!BL$1)</f>
        <v>0</v>
      </c>
      <c r="BM11" s="199">
        <f ca="1">SUMIFS(INDIRECT("'"&amp;$A11&amp;$B$3&amp;"'!"&amp;"$G:$G"),INDIRECT("'"&amp;$A11&amp;$B$3&amp;"'!"&amp;"$A:$A"),'Receita Líquida - O&amp;G'!BM$1)</f>
        <v>0</v>
      </c>
      <c r="BN11" s="199">
        <f ca="1">SUMIFS(INDIRECT("'"&amp;$A11&amp;$B$3&amp;"'!"&amp;"$G:$G"),INDIRECT("'"&amp;$A11&amp;$B$3&amp;"'!"&amp;"$A:$A"),'Receita Líquida - O&amp;G'!BN$1)</f>
        <v>0</v>
      </c>
      <c r="BO11" s="199">
        <f ca="1">SUMIFS(INDIRECT("'"&amp;$A11&amp;$B$3&amp;"'!"&amp;"$G:$G"),INDIRECT("'"&amp;$A11&amp;$B$3&amp;"'!"&amp;"$A:$A"),'Receita Líquida - O&amp;G'!BO$1)</f>
        <v>0</v>
      </c>
      <c r="BP11" s="199">
        <f ca="1">SUMIFS(INDIRECT("'"&amp;$A11&amp;$B$3&amp;"'!"&amp;"$G:$G"),INDIRECT("'"&amp;$A11&amp;$B$3&amp;"'!"&amp;"$A:$A"),'Receita Líquida - O&amp;G'!BP$1)</f>
        <v>0</v>
      </c>
      <c r="BQ11" s="199">
        <f ca="1">SUMIFS(INDIRECT("'"&amp;$A11&amp;$B$3&amp;"'!"&amp;"$G:$G"),INDIRECT("'"&amp;$A11&amp;$B$3&amp;"'!"&amp;"$A:$A"),'Receita Líquida - O&amp;G'!BQ$1)</f>
        <v>0</v>
      </c>
      <c r="BR11" s="199">
        <f ca="1">SUMIFS(INDIRECT("'"&amp;$A11&amp;$B$3&amp;"'!"&amp;"$G:$G"),INDIRECT("'"&amp;$A11&amp;$B$3&amp;"'!"&amp;"$A:$A"),'Receita Líquida - O&amp;G'!BR$1)</f>
        <v>0</v>
      </c>
      <c r="BS11" s="199">
        <f ca="1">SUMIFS(INDIRECT("'"&amp;$A11&amp;$B$3&amp;"'!"&amp;"$G:$G"),INDIRECT("'"&amp;$A11&amp;$B$3&amp;"'!"&amp;"$A:$A"),'Receita Líquida - O&amp;G'!BS$1)</f>
        <v>0</v>
      </c>
      <c r="BT11" s="199">
        <f ca="1">SUMIFS(INDIRECT("'"&amp;$A11&amp;$B$3&amp;"'!"&amp;"$G:$G"),INDIRECT("'"&amp;$A11&amp;$B$3&amp;"'!"&amp;"$A:$A"),'Receita Líquida - O&amp;G'!BT$1)</f>
        <v>0</v>
      </c>
      <c r="BU11" s="199">
        <f ca="1">SUMIFS(INDIRECT("'"&amp;$A11&amp;$B$3&amp;"'!"&amp;"$G:$G"),INDIRECT("'"&amp;$A11&amp;$B$3&amp;"'!"&amp;"$A:$A"),'Receita Líquida - O&amp;G'!BU$1)</f>
        <v>0</v>
      </c>
      <c r="BV11" s="199">
        <f ca="1">SUMIFS(INDIRECT("'"&amp;$A11&amp;$B$3&amp;"'!"&amp;"$G:$G"),INDIRECT("'"&amp;$A11&amp;$B$3&amp;"'!"&amp;"$A:$A"),'Receita Líquida - O&amp;G'!BV$1)</f>
        <v>0</v>
      </c>
      <c r="BW11" s="199">
        <f ca="1">SUMIFS(INDIRECT("'"&amp;$A11&amp;$B$3&amp;"'!"&amp;"$G:$G"),INDIRECT("'"&amp;$A11&amp;$B$3&amp;"'!"&amp;"$A:$A"),'Receita Líquida - O&amp;G'!BW$1)</f>
        <v>0</v>
      </c>
    </row>
    <row r="12" spans="1:75" x14ac:dyDescent="0.3">
      <c r="B12" s="4"/>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row>
    <row r="13" spans="1:75" x14ac:dyDescent="0.3">
      <c r="A13" s="4" t="s">
        <v>687</v>
      </c>
      <c r="B13" s="4"/>
      <c r="C13" s="72"/>
      <c r="D13" s="72"/>
      <c r="E13" s="72"/>
      <c r="F13" s="72"/>
      <c r="G13" s="72"/>
      <c r="H13" s="70">
        <f>'Infos - Release Operacional'!H14</f>
        <v>63.83</v>
      </c>
      <c r="I13" s="70">
        <f>'Infos - Release Operacional'!I14</f>
        <v>68.47</v>
      </c>
      <c r="J13" s="70">
        <f>'Infos - Release Operacional'!J14</f>
        <v>62.03</v>
      </c>
      <c r="K13" s="70">
        <f>'Infos - Release Operacional'!K14</f>
        <v>62.42</v>
      </c>
      <c r="L13" s="61">
        <f>'Infos - Release Operacional'!L14</f>
        <v>64.1875</v>
      </c>
      <c r="M13" s="70">
        <f>'Infos - Release Operacional'!M14</f>
        <v>50.44</v>
      </c>
      <c r="N13" s="70">
        <f>'Infos - Release Operacional'!N14</f>
        <v>33.39</v>
      </c>
      <c r="O13" s="70">
        <f>'Infos - Release Operacional'!O14</f>
        <v>43.34</v>
      </c>
      <c r="P13" s="70">
        <f>'Infos - Release Operacional'!P14</f>
        <v>45.26</v>
      </c>
      <c r="Q13" s="61">
        <f>'Infos - Release Operacional'!Q14</f>
        <v>43.107500000000002</v>
      </c>
      <c r="R13" s="70">
        <f>'Infos - Release Operacional'!R14</f>
        <v>61.32</v>
      </c>
      <c r="S13" s="70">
        <f>'Infos - Release Operacional'!S14</f>
        <v>69.08</v>
      </c>
      <c r="T13" s="70">
        <f>'Infos - Release Operacional'!T14</f>
        <v>73.23</v>
      </c>
      <c r="U13" s="70">
        <f>'Infos - Release Operacional'!U14</f>
        <v>79.66</v>
      </c>
      <c r="V13" s="61">
        <f>'Infos - Release Operacional'!V14</f>
        <v>70.822499999999991</v>
      </c>
      <c r="W13" s="70">
        <f>'Infos - Release Operacional'!W14</f>
        <v>97.9</v>
      </c>
      <c r="X13" s="70">
        <f>'Infos - Release Operacional'!X14</f>
        <v>111.7</v>
      </c>
      <c r="Y13" s="70">
        <f>'Infos - Release Operacional'!Y14</f>
        <v>97.7</v>
      </c>
      <c r="Z13" s="70">
        <f>'Infos - Release Operacional'!Z14</f>
        <v>88.63</v>
      </c>
      <c r="AA13" s="61">
        <f>'Infos - Release Operacional'!AA14</f>
        <v>98.982500000000002</v>
      </c>
      <c r="AB13" s="70">
        <f>'Infos - Release Operacional'!AB14</f>
        <v>82.16</v>
      </c>
      <c r="AC13" s="70">
        <f>'Infos - Release Operacional'!AC14</f>
        <v>77.73</v>
      </c>
      <c r="AD13" s="70">
        <f>'Infos - Release Operacional'!AD14</f>
        <v>85.92</v>
      </c>
      <c r="AE13" s="70">
        <f>'Infos - Release Operacional'!AE14</f>
        <v>82.86</v>
      </c>
      <c r="AF13" s="61">
        <f>'Infos - Release Operacional'!AF14</f>
        <v>82.167500000000004</v>
      </c>
      <c r="AG13" s="70">
        <f>AVERAGEIFS('Drivers Macroeconômico'!$B:$B,'Drivers Macroeconômico'!$D:$D,'Receita Líquida - O&amp;G'!AG$1)</f>
        <v>83.197777777777773</v>
      </c>
      <c r="AH13" s="70">
        <f>AVERAGEIFS('Drivers Macroeconômico'!$B:$B,'Drivers Macroeconômico'!$D:$D,'Receita Líquida - O&amp;G'!AH$1)</f>
        <v>77.808333333333323</v>
      </c>
      <c r="AI13" s="70">
        <f>AVERAGEIFS('Drivers Macroeconômico'!$B:$B,'Drivers Macroeconômico'!$D:$D,'Receita Líquida - O&amp;G'!AI$1)</f>
        <v>74.14</v>
      </c>
      <c r="AJ13" s="70">
        <f>AVERAGEIFS('Drivers Macroeconômico'!$B:$B,'Drivers Macroeconômico'!$D:$D,'Receita Líquida - O&amp;G'!AJ$1)</f>
        <v>71.798333333333332</v>
      </c>
      <c r="AK13" s="70">
        <f>AVERAGEIFS('Drivers Macroeconômico'!$B:$B,'Drivers Macroeconômico'!$D:$D,'Receita Líquida - O&amp;G'!AK$1)</f>
        <v>70.457499999999996</v>
      </c>
      <c r="AL13" s="70">
        <f>AVERAGEIFS('Drivers Macroeconômico'!$B:$B,'Drivers Macroeconômico'!$D:$D,'Receita Líquida - O&amp;G'!AL$1)</f>
        <v>69.947499999999991</v>
      </c>
      <c r="AM13" s="70">
        <f>AVERAGEIFS('Drivers Macroeconômico'!$B:$B,'Drivers Macroeconômico'!$D:$D,'Receita Líquida - O&amp;G'!AM$1)</f>
        <v>69.894999999999982</v>
      </c>
      <c r="AN13" s="70">
        <f>AVERAGEIFS('Drivers Macroeconômico'!$B:$B,'Drivers Macroeconômico'!$D:$D,'Receita Líquida - O&amp;G'!AN$1)</f>
        <v>69.92</v>
      </c>
      <c r="AO13" s="80">
        <f>AN13*(1+AO16)</f>
        <v>71.318399999999997</v>
      </c>
      <c r="AP13" s="80">
        <f t="shared" ref="AP13:BL13" si="5">AO13*(1+AP16)</f>
        <v>72.744767999999993</v>
      </c>
      <c r="AQ13" s="80">
        <f t="shared" si="5"/>
        <v>74.199663359999988</v>
      </c>
      <c r="AR13" s="80">
        <f t="shared" si="5"/>
        <v>75.683656627199994</v>
      </c>
      <c r="AS13" s="80">
        <f t="shared" si="5"/>
        <v>77.197329759743994</v>
      </c>
      <c r="AT13" s="80">
        <f t="shared" si="5"/>
        <v>78.741276354938876</v>
      </c>
      <c r="AU13" s="80">
        <f t="shared" si="5"/>
        <v>80.316101882037657</v>
      </c>
      <c r="AV13" s="80">
        <f t="shared" si="5"/>
        <v>81.922423919678408</v>
      </c>
      <c r="AW13" s="80">
        <f t="shared" si="5"/>
        <v>83.560872398071979</v>
      </c>
      <c r="AX13" s="80">
        <f t="shared" si="5"/>
        <v>85.232089846033418</v>
      </c>
      <c r="AY13" s="80">
        <f t="shared" si="5"/>
        <v>86.936731642954086</v>
      </c>
      <c r="AZ13" s="80">
        <f t="shared" si="5"/>
        <v>88.675466275813164</v>
      </c>
      <c r="BA13" s="80">
        <f t="shared" si="5"/>
        <v>90.448975601329423</v>
      </c>
      <c r="BB13" s="80">
        <f t="shared" si="5"/>
        <v>92.257955113356019</v>
      </c>
      <c r="BC13" s="80">
        <f t="shared" si="5"/>
        <v>94.103114215623137</v>
      </c>
      <c r="BD13" s="80">
        <f t="shared" si="5"/>
        <v>95.985176499935605</v>
      </c>
      <c r="BE13" s="80">
        <f t="shared" si="5"/>
        <v>97.904880029934318</v>
      </c>
      <c r="BF13" s="80">
        <f t="shared" si="5"/>
        <v>99.86297763053301</v>
      </c>
      <c r="BG13" s="80">
        <f t="shared" si="5"/>
        <v>101.86023718314367</v>
      </c>
      <c r="BH13" s="80">
        <f t="shared" si="5"/>
        <v>103.89744192680654</v>
      </c>
      <c r="BI13" s="80">
        <f t="shared" si="5"/>
        <v>105.97539076534267</v>
      </c>
      <c r="BJ13" s="80">
        <f t="shared" si="5"/>
        <v>108.09489858064953</v>
      </c>
      <c r="BK13" s="80">
        <f t="shared" si="5"/>
        <v>110.25679655226251</v>
      </c>
      <c r="BL13" s="80">
        <f t="shared" si="5"/>
        <v>112.46193248330776</v>
      </c>
      <c r="BM13" s="80">
        <f t="shared" ref="BM13:BW13" si="6">BL13*(1+BM16)</f>
        <v>114.71117113297392</v>
      </c>
      <c r="BN13" s="80">
        <f t="shared" si="6"/>
        <v>117.0053945556334</v>
      </c>
      <c r="BO13" s="80">
        <f t="shared" si="6"/>
        <v>119.34550244674607</v>
      </c>
      <c r="BP13" s="80">
        <f t="shared" si="6"/>
        <v>121.73241249568099</v>
      </c>
      <c r="BQ13" s="80">
        <f t="shared" si="6"/>
        <v>124.16706074559461</v>
      </c>
      <c r="BR13" s="80">
        <f t="shared" si="6"/>
        <v>126.6504019605065</v>
      </c>
      <c r="BS13" s="80">
        <f t="shared" si="6"/>
        <v>129.18340999971664</v>
      </c>
      <c r="BT13" s="80">
        <f t="shared" si="6"/>
        <v>131.76707819971099</v>
      </c>
      <c r="BU13" s="80">
        <f t="shared" si="6"/>
        <v>134.40241976370521</v>
      </c>
      <c r="BV13" s="80">
        <f t="shared" si="6"/>
        <v>137.09046815897932</v>
      </c>
      <c r="BW13" s="80">
        <f t="shared" si="6"/>
        <v>139.8322775221589</v>
      </c>
    </row>
    <row r="14" spans="1:75" x14ac:dyDescent="0.3">
      <c r="A14" s="6" t="s">
        <v>695</v>
      </c>
      <c r="C14" s="72"/>
      <c r="D14" s="72"/>
      <c r="E14" s="72"/>
      <c r="F14" s="72"/>
      <c r="G14" s="72"/>
      <c r="H14" s="70">
        <f>'Infos - Release Operacional'!H15</f>
        <v>64.400000000000006</v>
      </c>
      <c r="I14" s="70">
        <f>'Infos - Release Operacional'!I15</f>
        <v>68.61</v>
      </c>
      <c r="J14" s="70">
        <f>'Infos - Release Operacional'!J15</f>
        <v>62.31</v>
      </c>
      <c r="K14" s="70">
        <f>'Infos - Release Operacional'!K15</f>
        <v>62.88</v>
      </c>
      <c r="L14" s="61">
        <f>'Infos - Release Operacional'!L15</f>
        <v>64.636710448833995</v>
      </c>
      <c r="M14" s="70">
        <f>'Infos - Release Operacional'!M15</f>
        <v>31.79</v>
      </c>
      <c r="N14" s="70">
        <f>'Infos - Release Operacional'!N15</f>
        <v>35.090000000000003</v>
      </c>
      <c r="O14" s="70">
        <f>'Infos - Release Operacional'!O15</f>
        <v>42.71</v>
      </c>
      <c r="P14" s="70">
        <f>'Infos - Release Operacional'!P15</f>
        <v>46.26</v>
      </c>
      <c r="Q14" s="61">
        <f>'Infos - Release Operacional'!Q15</f>
        <v>41.230148238965675</v>
      </c>
      <c r="R14" s="70">
        <f>'Infos - Release Operacional'!R15</f>
        <v>62.19</v>
      </c>
      <c r="S14" s="70">
        <f>'Infos - Release Operacional'!S15</f>
        <v>66.849999999999994</v>
      </c>
      <c r="T14" s="70">
        <f>'Infos - Release Operacional'!T15</f>
        <v>74.41</v>
      </c>
      <c r="U14" s="70">
        <f>'Infos - Release Operacional'!U15</f>
        <v>83.19</v>
      </c>
      <c r="V14" s="61">
        <f>'Infos - Release Operacional'!V15</f>
        <v>73.380131816540271</v>
      </c>
      <c r="W14" s="70">
        <f>'Infos - Release Operacional'!W15</f>
        <v>110.28</v>
      </c>
      <c r="X14" s="70">
        <f>'Infos - Release Operacional'!X15</f>
        <v>108.37</v>
      </c>
      <c r="Y14" s="70">
        <f>'Infos - Release Operacional'!Y15</f>
        <v>94.36</v>
      </c>
      <c r="Z14" s="70">
        <f>'Infos - Release Operacional'!Z15</f>
        <v>85.32</v>
      </c>
      <c r="AA14" s="61">
        <f>'Infos - Release Operacional'!AA15</f>
        <v>100.11554822954822</v>
      </c>
      <c r="AB14" s="70">
        <f>'Infos - Release Operacional'!AB15</f>
        <v>82.93</v>
      </c>
      <c r="AC14" s="70">
        <f>'Infos - Release Operacional'!AC15</f>
        <v>77.67</v>
      </c>
      <c r="AD14" s="70">
        <f>'Infos - Release Operacional'!AD15</f>
        <v>86.48</v>
      </c>
      <c r="AE14" s="70">
        <f>'Infos - Release Operacional'!AE15</f>
        <v>77.39</v>
      </c>
      <c r="AF14" s="61">
        <f>'Infos - Release Operacional'!AF15</f>
        <v>81.419905715426438</v>
      </c>
      <c r="AG14" s="70">
        <f t="shared" ref="AG14:BL14" si="7">AG13+AG15</f>
        <v>80.197777777777773</v>
      </c>
      <c r="AH14" s="70">
        <f t="shared" si="7"/>
        <v>74.748333333333321</v>
      </c>
      <c r="AI14" s="70">
        <f t="shared" si="7"/>
        <v>71.018799999999999</v>
      </c>
      <c r="AJ14" s="70">
        <f t="shared" si="7"/>
        <v>68.614709333333337</v>
      </c>
      <c r="AK14" s="70">
        <f t="shared" si="7"/>
        <v>67.210203519999993</v>
      </c>
      <c r="AL14" s="70">
        <f t="shared" si="7"/>
        <v>66.635257590399988</v>
      </c>
      <c r="AM14" s="70">
        <f t="shared" si="7"/>
        <v>66.516512742207979</v>
      </c>
      <c r="AN14" s="70">
        <f t="shared" si="7"/>
        <v>66.473942997052163</v>
      </c>
      <c r="AO14" s="70">
        <f t="shared" si="7"/>
        <v>67.803421856993197</v>
      </c>
      <c r="AP14" s="70">
        <f t="shared" si="7"/>
        <v>69.159490294133064</v>
      </c>
      <c r="AQ14" s="70">
        <f t="shared" si="7"/>
        <v>70.542680100015716</v>
      </c>
      <c r="AR14" s="70">
        <f t="shared" si="7"/>
        <v>71.953533702016031</v>
      </c>
      <c r="AS14" s="70">
        <f t="shared" si="7"/>
        <v>73.392604376056354</v>
      </c>
      <c r="AT14" s="70">
        <f t="shared" si="7"/>
        <v>74.860456463577492</v>
      </c>
      <c r="AU14" s="70">
        <f t="shared" si="7"/>
        <v>76.357665592849045</v>
      </c>
      <c r="AV14" s="70">
        <f t="shared" si="7"/>
        <v>77.884818904706023</v>
      </c>
      <c r="AW14" s="70">
        <f t="shared" si="7"/>
        <v>79.442515282800144</v>
      </c>
      <c r="AX14" s="70">
        <f t="shared" si="7"/>
        <v>81.03136558845614</v>
      </c>
      <c r="AY14" s="70">
        <f t="shared" si="7"/>
        <v>82.651992900225267</v>
      </c>
      <c r="AZ14" s="70">
        <f t="shared" si="7"/>
        <v>84.305032758229771</v>
      </c>
      <c r="BA14" s="70">
        <f t="shared" si="7"/>
        <v>85.991133413394351</v>
      </c>
      <c r="BB14" s="70">
        <f t="shared" si="7"/>
        <v>87.71095608166226</v>
      </c>
      <c r="BC14" s="70">
        <f t="shared" si="7"/>
        <v>89.465175203295502</v>
      </c>
      <c r="BD14" s="70">
        <f t="shared" si="7"/>
        <v>91.254478707361415</v>
      </c>
      <c r="BE14" s="70">
        <f t="shared" si="7"/>
        <v>93.079568281508642</v>
      </c>
      <c r="BF14" s="70">
        <f t="shared" si="7"/>
        <v>94.941159647138818</v>
      </c>
      <c r="BG14" s="70">
        <f t="shared" si="7"/>
        <v>96.839982840081589</v>
      </c>
      <c r="BH14" s="70">
        <f t="shared" si="7"/>
        <v>98.776782496883214</v>
      </c>
      <c r="BI14" s="70">
        <f t="shared" si="7"/>
        <v>100.75231814682088</v>
      </c>
      <c r="BJ14" s="70">
        <f t="shared" si="7"/>
        <v>102.76736450975731</v>
      </c>
      <c r="BK14" s="70">
        <f t="shared" si="7"/>
        <v>104.82271179995246</v>
      </c>
      <c r="BL14" s="70">
        <f t="shared" si="7"/>
        <v>106.91916603595149</v>
      </c>
      <c r="BM14" s="70">
        <f t="shared" ref="BM14:BW14" si="8">BM13+BM15</f>
        <v>109.05754935667052</v>
      </c>
      <c r="BN14" s="70">
        <f t="shared" si="8"/>
        <v>111.23870034380394</v>
      </c>
      <c r="BO14" s="70">
        <f t="shared" si="8"/>
        <v>113.46347435068002</v>
      </c>
      <c r="BP14" s="70">
        <f t="shared" si="8"/>
        <v>115.73274383769362</v>
      </c>
      <c r="BQ14" s="70">
        <f t="shared" si="8"/>
        <v>118.0473987144475</v>
      </c>
      <c r="BR14" s="70">
        <f t="shared" si="8"/>
        <v>120.40834668873644</v>
      </c>
      <c r="BS14" s="70">
        <f t="shared" si="8"/>
        <v>122.81651362251118</v>
      </c>
      <c r="BT14" s="70">
        <f t="shared" si="8"/>
        <v>125.27284389496143</v>
      </c>
      <c r="BU14" s="70">
        <f t="shared" si="8"/>
        <v>127.77830077286065</v>
      </c>
      <c r="BV14" s="70">
        <f t="shared" si="8"/>
        <v>130.33386678831786</v>
      </c>
      <c r="BW14" s="70">
        <f t="shared" si="8"/>
        <v>132.94054412408423</v>
      </c>
    </row>
    <row r="15" spans="1:75" x14ac:dyDescent="0.3">
      <c r="A15" s="7" t="s">
        <v>279</v>
      </c>
      <c r="C15" s="72"/>
      <c r="D15" s="72"/>
      <c r="E15" s="72"/>
      <c r="F15" s="72"/>
      <c r="G15" s="72"/>
      <c r="H15" s="70">
        <f>H14-H13</f>
        <v>0.57000000000000739</v>
      </c>
      <c r="I15" s="70">
        <f t="shared" ref="I15:AB15" si="9">I14-I13</f>
        <v>0.14000000000000057</v>
      </c>
      <c r="J15" s="70">
        <f t="shared" si="9"/>
        <v>0.28000000000000114</v>
      </c>
      <c r="K15" s="70">
        <f t="shared" si="9"/>
        <v>0.46000000000000085</v>
      </c>
      <c r="L15" s="61">
        <f>L14-L13</f>
        <v>0.44921044883399475</v>
      </c>
      <c r="M15" s="70">
        <f t="shared" si="9"/>
        <v>-18.649999999999999</v>
      </c>
      <c r="N15" s="70">
        <f t="shared" si="9"/>
        <v>1.7000000000000028</v>
      </c>
      <c r="O15" s="70">
        <f t="shared" si="9"/>
        <v>-0.63000000000000256</v>
      </c>
      <c r="P15" s="70">
        <f t="shared" si="9"/>
        <v>1</v>
      </c>
      <c r="Q15" s="61">
        <f t="shared" si="9"/>
        <v>-1.8773517610343262</v>
      </c>
      <c r="R15" s="70">
        <f t="shared" si="9"/>
        <v>0.86999999999999744</v>
      </c>
      <c r="S15" s="70">
        <f t="shared" si="9"/>
        <v>-2.230000000000004</v>
      </c>
      <c r="T15" s="70">
        <f t="shared" si="9"/>
        <v>1.1799999999999926</v>
      </c>
      <c r="U15" s="70">
        <f t="shared" si="9"/>
        <v>3.5300000000000011</v>
      </c>
      <c r="V15" s="61">
        <f t="shared" si="9"/>
        <v>2.5576318165402796</v>
      </c>
      <c r="W15" s="70">
        <f t="shared" si="9"/>
        <v>12.379999999999995</v>
      </c>
      <c r="X15" s="70">
        <f t="shared" si="9"/>
        <v>-3.3299999999999983</v>
      </c>
      <c r="Y15" s="70">
        <f t="shared" si="9"/>
        <v>-3.3400000000000034</v>
      </c>
      <c r="Z15" s="70">
        <f t="shared" si="9"/>
        <v>-3.3100000000000023</v>
      </c>
      <c r="AA15" s="61">
        <f t="shared" si="9"/>
        <v>1.1330482295482227</v>
      </c>
      <c r="AB15" s="70">
        <f t="shared" si="9"/>
        <v>0.77000000000001023</v>
      </c>
      <c r="AC15" s="70">
        <f>AC14-AC13</f>
        <v>-6.0000000000002274E-2</v>
      </c>
      <c r="AD15" s="70">
        <f>AD14-AD13</f>
        <v>0.56000000000000227</v>
      </c>
      <c r="AE15" s="70">
        <f>AE14-AE13</f>
        <v>-5.4699999999999989</v>
      </c>
      <c r="AF15" s="61">
        <f>AF14-AF13</f>
        <v>-0.74759428457356591</v>
      </c>
      <c r="AG15" s="60">
        <f>-3</f>
        <v>-3</v>
      </c>
      <c r="AH15" s="60">
        <f>AG15*(1+AH16)</f>
        <v>-3.06</v>
      </c>
      <c r="AI15" s="60">
        <f t="shared" ref="AI15:BW15" si="10">AH15*(1+AI16)</f>
        <v>-3.1212</v>
      </c>
      <c r="AJ15" s="60">
        <f t="shared" si="10"/>
        <v>-3.183624</v>
      </c>
      <c r="AK15" s="60">
        <f t="shared" si="10"/>
        <v>-3.2472964800000002</v>
      </c>
      <c r="AL15" s="60">
        <f t="shared" si="10"/>
        <v>-3.3122424096</v>
      </c>
      <c r="AM15" s="60">
        <f t="shared" si="10"/>
        <v>-3.378487257792</v>
      </c>
      <c r="AN15" s="60">
        <f t="shared" si="10"/>
        <v>-3.4460570029478399</v>
      </c>
      <c r="AO15" s="60">
        <f t="shared" si="10"/>
        <v>-3.5149781430067968</v>
      </c>
      <c r="AP15" s="60">
        <f t="shared" si="10"/>
        <v>-3.585277705866933</v>
      </c>
      <c r="AQ15" s="60">
        <f t="shared" si="10"/>
        <v>-3.6569832599842718</v>
      </c>
      <c r="AR15" s="60">
        <f t="shared" si="10"/>
        <v>-3.7301229251839572</v>
      </c>
      <c r="AS15" s="60">
        <f t="shared" si="10"/>
        <v>-3.8047253836876362</v>
      </c>
      <c r="AT15" s="60">
        <f t="shared" si="10"/>
        <v>-3.8808198913613889</v>
      </c>
      <c r="AU15" s="60">
        <f t="shared" si="10"/>
        <v>-3.9584362891886169</v>
      </c>
      <c r="AV15" s="60">
        <f t="shared" si="10"/>
        <v>-4.0376050149723897</v>
      </c>
      <c r="AW15" s="60">
        <f t="shared" si="10"/>
        <v>-4.1183571152718379</v>
      </c>
      <c r="AX15" s="60">
        <f t="shared" si="10"/>
        <v>-4.2007242575772743</v>
      </c>
      <c r="AY15" s="60">
        <f t="shared" si="10"/>
        <v>-4.2847387427288197</v>
      </c>
      <c r="AZ15" s="60">
        <f t="shared" si="10"/>
        <v>-4.3704335175833959</v>
      </c>
      <c r="BA15" s="60">
        <f t="shared" si="10"/>
        <v>-4.4578421879350643</v>
      </c>
      <c r="BB15" s="60">
        <f t="shared" si="10"/>
        <v>-4.5469990316937654</v>
      </c>
      <c r="BC15" s="60">
        <f t="shared" si="10"/>
        <v>-4.6379390123276405</v>
      </c>
      <c r="BD15" s="60">
        <f t="shared" si="10"/>
        <v>-4.7306977925741931</v>
      </c>
      <c r="BE15" s="60">
        <f t="shared" si="10"/>
        <v>-4.8253117484256771</v>
      </c>
      <c r="BF15" s="60">
        <f t="shared" si="10"/>
        <v>-4.9218179833941909</v>
      </c>
      <c r="BG15" s="60">
        <f t="shared" si="10"/>
        <v>-5.0202543430620752</v>
      </c>
      <c r="BH15" s="60">
        <f t="shared" si="10"/>
        <v>-5.1206594299233164</v>
      </c>
      <c r="BI15" s="60">
        <f t="shared" si="10"/>
        <v>-5.2230726185217824</v>
      </c>
      <c r="BJ15" s="60">
        <f t="shared" si="10"/>
        <v>-5.3275340708922183</v>
      </c>
      <c r="BK15" s="60">
        <f t="shared" si="10"/>
        <v>-5.4340847523100626</v>
      </c>
      <c r="BL15" s="60">
        <f t="shared" si="10"/>
        <v>-5.5427664473562643</v>
      </c>
      <c r="BM15" s="60">
        <f t="shared" si="10"/>
        <v>-5.6536217763033898</v>
      </c>
      <c r="BN15" s="60">
        <f t="shared" si="10"/>
        <v>-5.7666942118294573</v>
      </c>
      <c r="BO15" s="60">
        <f t="shared" si="10"/>
        <v>-5.8820280960660467</v>
      </c>
      <c r="BP15" s="60">
        <f t="shared" si="10"/>
        <v>-5.9996686579873675</v>
      </c>
      <c r="BQ15" s="60">
        <f t="shared" si="10"/>
        <v>-6.119662031147115</v>
      </c>
      <c r="BR15" s="60">
        <f t="shared" si="10"/>
        <v>-6.2420552717700577</v>
      </c>
      <c r="BS15" s="60">
        <f t="shared" si="10"/>
        <v>-6.3668963772054585</v>
      </c>
      <c r="BT15" s="60">
        <f t="shared" si="10"/>
        <v>-6.4942343047495674</v>
      </c>
      <c r="BU15" s="60">
        <f t="shared" si="10"/>
        <v>-6.6241189908445586</v>
      </c>
      <c r="BV15" s="60">
        <f t="shared" si="10"/>
        <v>-6.7566013706614498</v>
      </c>
      <c r="BW15" s="60">
        <f t="shared" si="10"/>
        <v>-6.8917333980746793</v>
      </c>
    </row>
    <row r="16" spans="1:75" s="25" customFormat="1" x14ac:dyDescent="0.3">
      <c r="A16" s="6" t="s">
        <v>753</v>
      </c>
      <c r="AG16" s="74">
        <f>SUMIFS('Drivers Macroeconômico'!$J:$J,'Drivers Macroeconômico'!$H:$H,'Receita Líquida - O&amp;G'!AG$1)</f>
        <v>2.7E-2</v>
      </c>
      <c r="AH16" s="74">
        <f>SUMIFS('Drivers Macroeconômico'!$J:$J,'Drivers Macroeconômico'!$H:$H,'Receita Líquida - O&amp;G'!AH$1)</f>
        <v>0.02</v>
      </c>
      <c r="AI16" s="74">
        <f>SUMIFS('Drivers Macroeconômico'!$J:$J,'Drivers Macroeconômico'!$H:$H,'Receita Líquida - O&amp;G'!AI$1)</f>
        <v>0.02</v>
      </c>
      <c r="AJ16" s="74">
        <f>SUMIFS('Drivers Macroeconômico'!$J:$J,'Drivers Macroeconômico'!$H:$H,'Receita Líquida - O&amp;G'!AJ$1)</f>
        <v>0.02</v>
      </c>
      <c r="AK16" s="74">
        <f>SUMIFS('Drivers Macroeconômico'!$J:$J,'Drivers Macroeconômico'!$H:$H,'Receita Líquida - O&amp;G'!AK$1)</f>
        <v>0.02</v>
      </c>
      <c r="AL16" s="74">
        <f>SUMIFS('Drivers Macroeconômico'!$J:$J,'Drivers Macroeconômico'!$H:$H,'Receita Líquida - O&amp;G'!AL$1)</f>
        <v>0.02</v>
      </c>
      <c r="AM16" s="74">
        <f>SUMIFS('Drivers Macroeconômico'!$J:$J,'Drivers Macroeconômico'!$H:$H,'Receita Líquida - O&amp;G'!AM$1)</f>
        <v>0.02</v>
      </c>
      <c r="AN16" s="74">
        <f>SUMIFS('Drivers Macroeconômico'!$J:$J,'Drivers Macroeconômico'!$H:$H,'Receita Líquida - O&amp;G'!AN$1)</f>
        <v>0.02</v>
      </c>
      <c r="AO16" s="74">
        <f>SUMIFS('Drivers Macroeconômico'!$J:$J,'Drivers Macroeconômico'!$H:$H,'Receita Líquida - O&amp;G'!AO$1)</f>
        <v>0.02</v>
      </c>
      <c r="AP16" s="74">
        <f>SUMIFS('Drivers Macroeconômico'!$J:$J,'Drivers Macroeconômico'!$H:$H,'Receita Líquida - O&amp;G'!AP$1)</f>
        <v>0.02</v>
      </c>
      <c r="AQ16" s="74">
        <f>SUMIFS('Drivers Macroeconômico'!$J:$J,'Drivers Macroeconômico'!$H:$H,'Receita Líquida - O&amp;G'!AQ$1)</f>
        <v>0.02</v>
      </c>
      <c r="AR16" s="74">
        <f>SUMIFS('Drivers Macroeconômico'!$J:$J,'Drivers Macroeconômico'!$H:$H,'Receita Líquida - O&amp;G'!AR$1)</f>
        <v>0.02</v>
      </c>
      <c r="AS16" s="74">
        <f>SUMIFS('Drivers Macroeconômico'!$J:$J,'Drivers Macroeconômico'!$H:$H,'Receita Líquida - O&amp;G'!AS$1)</f>
        <v>0.02</v>
      </c>
      <c r="AT16" s="74">
        <f>SUMIFS('Drivers Macroeconômico'!$J:$J,'Drivers Macroeconômico'!$H:$H,'Receita Líquida - O&amp;G'!AT$1)</f>
        <v>0.02</v>
      </c>
      <c r="AU16" s="74">
        <f>SUMIFS('Drivers Macroeconômico'!$J:$J,'Drivers Macroeconômico'!$H:$H,'Receita Líquida - O&amp;G'!AU$1)</f>
        <v>0.02</v>
      </c>
      <c r="AV16" s="74">
        <f>SUMIFS('Drivers Macroeconômico'!$J:$J,'Drivers Macroeconômico'!$H:$H,'Receita Líquida - O&amp;G'!AV$1)</f>
        <v>0.02</v>
      </c>
      <c r="AW16" s="74">
        <f>SUMIFS('Drivers Macroeconômico'!$J:$J,'Drivers Macroeconômico'!$H:$H,'Receita Líquida - O&amp;G'!AW$1)</f>
        <v>0.02</v>
      </c>
      <c r="AX16" s="74">
        <f>SUMIFS('Drivers Macroeconômico'!$J:$J,'Drivers Macroeconômico'!$H:$H,'Receita Líquida - O&amp;G'!AX$1)</f>
        <v>0.02</v>
      </c>
      <c r="AY16" s="74">
        <f>SUMIFS('Drivers Macroeconômico'!$J:$J,'Drivers Macroeconômico'!$H:$H,'Receita Líquida - O&amp;G'!AY$1)</f>
        <v>0.02</v>
      </c>
      <c r="AZ16" s="74">
        <f>SUMIFS('Drivers Macroeconômico'!$J:$J,'Drivers Macroeconômico'!$H:$H,'Receita Líquida - O&amp;G'!AZ$1)</f>
        <v>0.02</v>
      </c>
      <c r="BA16" s="74">
        <f>SUMIFS('Drivers Macroeconômico'!$J:$J,'Drivers Macroeconômico'!$H:$H,'Receita Líquida - O&amp;G'!BA$1)</f>
        <v>0.02</v>
      </c>
      <c r="BB16" s="74">
        <f>SUMIFS('Drivers Macroeconômico'!$J:$J,'Drivers Macroeconômico'!$H:$H,'Receita Líquida - O&amp;G'!BB$1)</f>
        <v>0.02</v>
      </c>
      <c r="BC16" s="74">
        <f>SUMIFS('Drivers Macroeconômico'!$J:$J,'Drivers Macroeconômico'!$H:$H,'Receita Líquida - O&amp;G'!BC$1)</f>
        <v>0.02</v>
      </c>
      <c r="BD16" s="74">
        <f>SUMIFS('Drivers Macroeconômico'!$J:$J,'Drivers Macroeconômico'!$H:$H,'Receita Líquida - O&amp;G'!BD$1)</f>
        <v>0.02</v>
      </c>
      <c r="BE16" s="74">
        <f>SUMIFS('Drivers Macroeconômico'!$J:$J,'Drivers Macroeconômico'!$H:$H,'Receita Líquida - O&amp;G'!BE$1)</f>
        <v>0.02</v>
      </c>
      <c r="BF16" s="74">
        <f>SUMIFS('Drivers Macroeconômico'!$J:$J,'Drivers Macroeconômico'!$H:$H,'Receita Líquida - O&amp;G'!BF$1)</f>
        <v>0.02</v>
      </c>
      <c r="BG16" s="74">
        <f>SUMIFS('Drivers Macroeconômico'!$J:$J,'Drivers Macroeconômico'!$H:$H,'Receita Líquida - O&amp;G'!BG$1)</f>
        <v>0.02</v>
      </c>
      <c r="BH16" s="74">
        <f>SUMIFS('Drivers Macroeconômico'!$J:$J,'Drivers Macroeconômico'!$H:$H,'Receita Líquida - O&amp;G'!BH$1)</f>
        <v>0.02</v>
      </c>
      <c r="BI16" s="74">
        <f>SUMIFS('Drivers Macroeconômico'!$J:$J,'Drivers Macroeconômico'!$H:$H,'Receita Líquida - O&amp;G'!BI$1)</f>
        <v>0.02</v>
      </c>
      <c r="BJ16" s="74">
        <f>SUMIFS('Drivers Macroeconômico'!$J:$J,'Drivers Macroeconômico'!$H:$H,'Receita Líquida - O&amp;G'!BJ$1)</f>
        <v>0.02</v>
      </c>
      <c r="BK16" s="74">
        <f>SUMIFS('Drivers Macroeconômico'!$J:$J,'Drivers Macroeconômico'!$H:$H,'Receita Líquida - O&amp;G'!BK$1)</f>
        <v>0.02</v>
      </c>
      <c r="BL16" s="74">
        <f>SUMIFS('Drivers Macroeconômico'!$J:$J,'Drivers Macroeconômico'!$H:$H,'Receita Líquida - O&amp;G'!BL$1)</f>
        <v>0.02</v>
      </c>
      <c r="BM16" s="74">
        <f>SUMIFS('Drivers Macroeconômico'!$J:$J,'Drivers Macroeconômico'!$H:$H,'Receita Líquida - O&amp;G'!BM$1)</f>
        <v>0.02</v>
      </c>
      <c r="BN16" s="74">
        <f>SUMIFS('Drivers Macroeconômico'!$J:$J,'Drivers Macroeconômico'!$H:$H,'Receita Líquida - O&amp;G'!BN$1)</f>
        <v>0.02</v>
      </c>
      <c r="BO16" s="74">
        <f>SUMIFS('Drivers Macroeconômico'!$J:$J,'Drivers Macroeconômico'!$H:$H,'Receita Líquida - O&amp;G'!BO$1)</f>
        <v>0.02</v>
      </c>
      <c r="BP16" s="74">
        <f>SUMIFS('Drivers Macroeconômico'!$J:$J,'Drivers Macroeconômico'!$H:$H,'Receita Líquida - O&amp;G'!BP$1)</f>
        <v>0.02</v>
      </c>
      <c r="BQ16" s="74">
        <f>SUMIFS('Drivers Macroeconômico'!$J:$J,'Drivers Macroeconômico'!$H:$H,'Receita Líquida - O&amp;G'!BQ$1)</f>
        <v>0.02</v>
      </c>
      <c r="BR16" s="74">
        <f>SUMIFS('Drivers Macroeconômico'!$J:$J,'Drivers Macroeconômico'!$H:$H,'Receita Líquida - O&amp;G'!BR$1)</f>
        <v>0.02</v>
      </c>
      <c r="BS16" s="74">
        <f>SUMIFS('Drivers Macroeconômico'!$J:$J,'Drivers Macroeconômico'!$H:$H,'Receita Líquida - O&amp;G'!BS$1)</f>
        <v>0.02</v>
      </c>
      <c r="BT16" s="74">
        <f>SUMIFS('Drivers Macroeconômico'!$J:$J,'Drivers Macroeconômico'!$H:$H,'Receita Líquida - O&amp;G'!BT$1)</f>
        <v>0.02</v>
      </c>
      <c r="BU16" s="74">
        <f>SUMIFS('Drivers Macroeconômico'!$J:$J,'Drivers Macroeconômico'!$H:$H,'Receita Líquida - O&amp;G'!BU$1)</f>
        <v>0.02</v>
      </c>
      <c r="BV16" s="74">
        <f>SUMIFS('Drivers Macroeconômico'!$J:$J,'Drivers Macroeconômico'!$H:$H,'Receita Líquida - O&amp;G'!BV$1)</f>
        <v>0.02</v>
      </c>
      <c r="BW16" s="74">
        <f>SUMIFS('Drivers Macroeconômico'!$J:$J,'Drivers Macroeconômico'!$H:$H,'Receita Líquida - O&amp;G'!BW$1)</f>
        <v>0.02</v>
      </c>
    </row>
    <row r="17" spans="1:75" s="25" customFormat="1" x14ac:dyDescent="0.3">
      <c r="A17" s="6" t="s">
        <v>366</v>
      </c>
      <c r="C17" s="70">
        <f>'Infos - Release Operacional'!C17</f>
        <v>3.32</v>
      </c>
      <c r="D17" s="70">
        <f>'Infos - Release Operacional'!D17</f>
        <v>3.86</v>
      </c>
      <c r="E17" s="70">
        <f>'Infos - Release Operacional'!E17</f>
        <v>4</v>
      </c>
      <c r="F17" s="70">
        <f>'Infos - Release Operacional'!F17</f>
        <v>3.87</v>
      </c>
      <c r="G17" s="61">
        <f>'Infos - Release Operacional'!G17</f>
        <v>3.7625000000000002</v>
      </c>
      <c r="H17" s="70">
        <f>'Infos - Release Operacional'!H17</f>
        <v>3.9</v>
      </c>
      <c r="I17" s="70">
        <f>'Infos - Release Operacional'!I17</f>
        <v>3.85</v>
      </c>
      <c r="J17" s="70">
        <f>'Infos - Release Operacional'!J17</f>
        <v>4.16</v>
      </c>
      <c r="K17" s="70">
        <f>'Infos - Release Operacional'!K17</f>
        <v>4.0199999999999996</v>
      </c>
      <c r="L17" s="61">
        <f>'Infos - Release Operacional'!L17</f>
        <v>3.9824999999999999</v>
      </c>
      <c r="M17" s="70">
        <f>'Infos - Release Operacional'!M17</f>
        <v>5.2</v>
      </c>
      <c r="N17" s="70">
        <f>'Infos - Release Operacional'!N17</f>
        <v>5.47</v>
      </c>
      <c r="O17" s="70">
        <f>'Infos - Release Operacional'!O17</f>
        <v>5.61</v>
      </c>
      <c r="P17" s="70">
        <f>'Infos - Release Operacional'!P17</f>
        <v>5.19</v>
      </c>
      <c r="Q17" s="61">
        <f>'Infos - Release Operacional'!Q17</f>
        <v>5.3675000000000006</v>
      </c>
      <c r="R17" s="70">
        <f>'Infos - Release Operacional'!R17</f>
        <v>5.7</v>
      </c>
      <c r="S17" s="70">
        <f>'Infos - Release Operacional'!S17</f>
        <v>5</v>
      </c>
      <c r="T17" s="70">
        <f>'Infos - Release Operacional'!T17</f>
        <v>5.44</v>
      </c>
      <c r="U17" s="70">
        <f>'Infos - Release Operacional'!U17</f>
        <v>5.58</v>
      </c>
      <c r="V17" s="61">
        <f>'Infos - Release Operacional'!V17</f>
        <v>5.43</v>
      </c>
      <c r="W17" s="70">
        <f>'Infos - Release Operacional'!W17</f>
        <v>4.74</v>
      </c>
      <c r="X17" s="70">
        <f>'Infos - Release Operacional'!X17</f>
        <v>5.35</v>
      </c>
      <c r="Y17" s="70">
        <f>'Infos - Release Operacional'!Y17</f>
        <v>5.41</v>
      </c>
      <c r="Z17" s="70">
        <f>'Infos - Release Operacional'!Z17</f>
        <v>5.29</v>
      </c>
      <c r="AA17" s="61">
        <f>'Infos - Release Operacional'!AA17</f>
        <v>5.1974999999999998</v>
      </c>
      <c r="AB17" s="70">
        <f>'Infos - Release Operacional'!AB17</f>
        <v>5.0599999999999996</v>
      </c>
      <c r="AC17" s="70">
        <f>'Infos - Release Operacional'!AC17</f>
        <v>4.79</v>
      </c>
      <c r="AD17" s="70">
        <f>'Infos - Release Operacional'!AD17</f>
        <v>5.03</v>
      </c>
      <c r="AE17" s="70">
        <f>'Infos - Release Operacional'!AE17</f>
        <v>4.8499999999999996</v>
      </c>
      <c r="AF17" s="61">
        <f>'Infos - Release Operacional'!AF17</f>
        <v>4.9324999999999992</v>
      </c>
      <c r="AG17" s="70">
        <f>SUMIFS('Drivers Macroeconômico'!$K:$K,'Drivers Macroeconômico'!$H:$H,'Receita Líquida - O&amp;G'!AG$1)</f>
        <v>4.9326999999999996</v>
      </c>
      <c r="AH17" s="70">
        <f>SUMIFS('Drivers Macroeconômico'!$K:$K,'Drivers Macroeconômico'!$H:$H,'Receita Líquida - O&amp;G'!AH$1)</f>
        <v>5</v>
      </c>
      <c r="AI17" s="70">
        <f>SUMIFS('Drivers Macroeconômico'!$K:$K,'Drivers Macroeconômico'!$H:$H,'Receita Líquida - O&amp;G'!AI$1)</f>
        <v>5.04</v>
      </c>
      <c r="AJ17" s="70">
        <f>SUMIFS('Drivers Macroeconômico'!$K:$K,'Drivers Macroeconômico'!$H:$H,'Receita Líquida - O&amp;G'!AJ$1)</f>
        <v>5.0999999999999996</v>
      </c>
      <c r="AK17" s="70">
        <f>SUMIFS('Drivers Macroeconômico'!$K:$K,'Drivers Macroeconômico'!$H:$H,'Receita Líquida - O&amp;G'!AK$1)</f>
        <v>5.0999999999999996</v>
      </c>
      <c r="AL17" s="70">
        <f>SUMIFS('Drivers Macroeconômico'!$K:$K,'Drivers Macroeconômico'!$H:$H,'Receita Líquida - O&amp;G'!AL$1)</f>
        <v>5.15</v>
      </c>
      <c r="AM17" s="70">
        <f>SUMIFS('Drivers Macroeconômico'!$K:$K,'Drivers Macroeconômico'!$H:$H,'Receita Líquida - O&amp;G'!AM$1)</f>
        <v>5.200490196078432</v>
      </c>
      <c r="AN17" s="70">
        <f>SUMIFS('Drivers Macroeconômico'!$K:$K,'Drivers Macroeconômico'!$H:$H,'Receita Líquida - O&amp;G'!AN$1)</f>
        <v>5.2514753940792014</v>
      </c>
      <c r="AO17" s="70">
        <f>SUMIFS('Drivers Macroeconômico'!$K:$K,'Drivers Macroeconômico'!$H:$H,'Receita Líquida - O&amp;G'!AO$1)</f>
        <v>5.3029604469623308</v>
      </c>
      <c r="AP17" s="70">
        <f>SUMIFS('Drivers Macroeconômico'!$K:$K,'Drivers Macroeconômico'!$H:$H,'Receita Líquida - O&amp;G'!AP$1)</f>
        <v>5.3549502552658828</v>
      </c>
      <c r="AQ17" s="70">
        <f>SUMIFS('Drivers Macroeconômico'!$K:$K,'Drivers Macroeconômico'!$H:$H,'Receita Líquida - O&amp;G'!AQ$1)</f>
        <v>5.4074497675724107</v>
      </c>
      <c r="AR17" s="70">
        <f>SUMIFS('Drivers Macroeconômico'!$K:$K,'Drivers Macroeconômico'!$H:$H,'Receita Líquida - O&amp;G'!AR$1)</f>
        <v>5.4604639809799842</v>
      </c>
      <c r="AS17" s="70">
        <f>SUMIFS('Drivers Macroeconômico'!$K:$K,'Drivers Macroeconômico'!$H:$H,'Receita Líquida - O&amp;G'!AS$1)</f>
        <v>5.5139979415778271</v>
      </c>
      <c r="AT17" s="70">
        <f>SUMIFS('Drivers Macroeconômico'!$K:$K,'Drivers Macroeconômico'!$H:$H,'Receita Líquida - O&amp;G'!AT$1)</f>
        <v>5.5680567449266292</v>
      </c>
      <c r="AU17" s="70">
        <f>SUMIFS('Drivers Macroeconômico'!$K:$K,'Drivers Macroeconômico'!$H:$H,'Receita Líquida - O&amp;G'!AU$1)</f>
        <v>5.6226455365435566</v>
      </c>
      <c r="AV17" s="70">
        <f>SUMIFS('Drivers Macroeconômico'!$K:$K,'Drivers Macroeconômico'!$H:$H,'Receita Líquida - O&amp;G'!AV$1)</f>
        <v>5.6777695123920227</v>
      </c>
      <c r="AW17" s="70">
        <f>SUMIFS('Drivers Macroeconômico'!$K:$K,'Drivers Macroeconômico'!$H:$H,'Receita Líquida - O&amp;G'!AW$1)</f>
        <v>5.7334339193762576</v>
      </c>
      <c r="AX17" s="70">
        <f>SUMIFS('Drivers Macroeconômico'!$K:$K,'Drivers Macroeconômico'!$H:$H,'Receita Líquida - O&amp;G'!AX$1)</f>
        <v>5.7896440558407303</v>
      </c>
      <c r="AY17" s="70">
        <f>SUMIFS('Drivers Macroeconômico'!$K:$K,'Drivers Macroeconômico'!$H:$H,'Receita Líquida - O&amp;G'!AY$1)</f>
        <v>5.8464052720744633</v>
      </c>
      <c r="AZ17" s="70">
        <f>SUMIFS('Drivers Macroeconômico'!$K:$K,'Drivers Macroeconômico'!$H:$H,'Receita Líquida - O&amp;G'!AZ$1)</f>
        <v>5.903722970820291</v>
      </c>
      <c r="BA17" s="70">
        <f>SUMIFS('Drivers Macroeconômico'!$K:$K,'Drivers Macroeconômico'!$H:$H,'Receita Líquida - O&amp;G'!BA$1)</f>
        <v>5.9616026077891178</v>
      </c>
      <c r="BB17" s="70">
        <f>SUMIFS('Drivers Macroeconômico'!$K:$K,'Drivers Macroeconômico'!$H:$H,'Receita Líquida - O&amp;G'!BB$1)</f>
        <v>6.0200496921792075</v>
      </c>
      <c r="BC17" s="70">
        <f>SUMIFS('Drivers Macroeconômico'!$K:$K,'Drivers Macroeconômico'!$H:$H,'Receita Líquida - O&amp;G'!BC$1)</f>
        <v>6.0790697872005719</v>
      </c>
      <c r="BD17" s="70">
        <f>SUMIFS('Drivers Macroeconômico'!$K:$K,'Drivers Macroeconômico'!$H:$H,'Receita Líquida - O&amp;G'!BD$1)</f>
        <v>6.1386685106044991</v>
      </c>
      <c r="BE17" s="70">
        <f>SUMIFS('Drivers Macroeconômico'!$K:$K,'Drivers Macroeconômico'!$H:$H,'Receita Líquida - O&amp;G'!BE$1)</f>
        <v>6.1988515352182691</v>
      </c>
      <c r="BF17" s="70">
        <f>SUMIFS('Drivers Macroeconômico'!$K:$K,'Drivers Macroeconômico'!$H:$H,'Receita Líquida - O&amp;G'!BF$1)</f>
        <v>6.2596245894851146</v>
      </c>
      <c r="BG17" s="70">
        <f>SUMIFS('Drivers Macroeconômico'!$K:$K,'Drivers Macroeconômico'!$H:$H,'Receita Líquida - O&amp;G'!BG$1)</f>
        <v>6.3209934580094789</v>
      </c>
      <c r="BH17" s="70">
        <f>SUMIFS('Drivers Macroeconômico'!$K:$K,'Drivers Macroeconômico'!$H:$H,'Receita Líquida - O&amp;G'!BH$1)</f>
        <v>6.3829639821076105</v>
      </c>
      <c r="BI17" s="70">
        <f>SUMIFS('Drivers Macroeconômico'!$K:$K,'Drivers Macroeconômico'!$H:$H,'Receita Líquida - O&amp;G'!BI$1)</f>
        <v>6.445542060363568</v>
      </c>
      <c r="BJ17" s="70">
        <f>SUMIFS('Drivers Macroeconômico'!$K:$K,'Drivers Macroeconômico'!$H:$H,'Receita Líquida - O&amp;G'!BJ$1)</f>
        <v>6.5087336491906616</v>
      </c>
      <c r="BK17" s="70">
        <f>SUMIFS('Drivers Macroeconômico'!$K:$K,'Drivers Macroeconômico'!$H:$H,'Receita Líquida - O&amp;G'!BK$1)</f>
        <v>6.5725447633984135</v>
      </c>
      <c r="BL17" s="70">
        <f>SUMIFS('Drivers Macroeconômico'!$K:$K,'Drivers Macroeconômico'!$H:$H,'Receita Líquida - O&amp;G'!BL$1)</f>
        <v>6.6369814767650652</v>
      </c>
      <c r="BM17" s="70">
        <f>SUMIFS('Drivers Macroeconômico'!$K:$K,'Drivers Macroeconômico'!$H:$H,'Receita Líquida - O&amp;G'!BM$1)</f>
        <v>6.7020499226157026</v>
      </c>
      <c r="BN17" s="70">
        <f>SUMIFS('Drivers Macroeconômico'!$K:$K,'Drivers Macroeconômico'!$H:$H,'Receita Líquida - O&amp;G'!BN$1)</f>
        <v>6.7677562944060528</v>
      </c>
      <c r="BO17" s="70">
        <f>SUMIFS('Drivers Macroeconômico'!$K:$K,'Drivers Macroeconômico'!$H:$H,'Receita Líquida - O&amp;G'!BO$1)</f>
        <v>6.8341068463119949</v>
      </c>
      <c r="BP17" s="70">
        <f>SUMIFS('Drivers Macroeconômico'!$K:$K,'Drivers Macroeconômico'!$H:$H,'Receita Líquida - O&amp;G'!BP$1)</f>
        <v>6.9011078938248582</v>
      </c>
      <c r="BQ17" s="70">
        <f>SUMIFS('Drivers Macroeconômico'!$K:$K,'Drivers Macroeconômico'!$H:$H,'Receita Líquida - O&amp;G'!BQ$1)</f>
        <v>6.9687658143525528</v>
      </c>
      <c r="BR17" s="70">
        <f>SUMIFS('Drivers Macroeconômico'!$K:$K,'Drivers Macroeconômico'!$H:$H,'Receita Líquida - O&amp;G'!BR$1)</f>
        <v>7.0370870478265974</v>
      </c>
      <c r="BS17" s="70">
        <f>SUMIFS('Drivers Macroeconômico'!$K:$K,'Drivers Macroeconômico'!$H:$H,'Receita Líquida - O&amp;G'!BS$1)</f>
        <v>7.106078097315093</v>
      </c>
      <c r="BT17" s="70">
        <f>SUMIFS('Drivers Macroeconômico'!$K:$K,'Drivers Macroeconômico'!$H:$H,'Receita Líquida - O&amp;G'!BT$1)</f>
        <v>7.175745529641711</v>
      </c>
      <c r="BU17" s="70">
        <f>SUMIFS('Drivers Macroeconômico'!$K:$K,'Drivers Macroeconômico'!$H:$H,'Receita Líquida - O&amp;G'!BU$1)</f>
        <v>7.2460959760107482</v>
      </c>
      <c r="BV17" s="70">
        <f>SUMIFS('Drivers Macroeconômico'!$K:$K,'Drivers Macroeconômico'!$H:$H,'Receita Líquida - O&amp;G'!BV$1)</f>
        <v>7.3171361326383053</v>
      </c>
      <c r="BW17" s="70">
        <f>SUMIFS('Drivers Macroeconômico'!$K:$K,'Drivers Macroeconômico'!$H:$H,'Receita Líquida - O&amp;G'!BW$1)</f>
        <v>7.3888727613896608</v>
      </c>
    </row>
    <row r="18" spans="1:75" x14ac:dyDescent="0.3">
      <c r="C18" s="4"/>
      <c r="D18" s="4"/>
      <c r="E18" s="4"/>
      <c r="F18" s="4"/>
      <c r="G18" s="4"/>
      <c r="H18" s="4"/>
      <c r="I18" s="4"/>
      <c r="J18" s="4"/>
      <c r="K18" s="4"/>
      <c r="L18" s="4"/>
      <c r="M18" s="4"/>
      <c r="N18" s="4"/>
      <c r="O18" s="4"/>
      <c r="P18" s="4"/>
      <c r="Q18" s="4"/>
      <c r="R18" s="4"/>
      <c r="S18" s="4"/>
      <c r="T18" s="4"/>
      <c r="U18" s="4"/>
      <c r="V18" s="4"/>
      <c r="W18" s="4"/>
      <c r="X18" s="4"/>
      <c r="Y18" s="4"/>
      <c r="Z18" s="4"/>
      <c r="AA18" s="4"/>
      <c r="AB18" s="4"/>
      <c r="AC18" s="28"/>
      <c r="AF18" s="4"/>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row>
    <row r="19" spans="1:75" x14ac:dyDescent="0.3">
      <c r="A19" s="4" t="s">
        <v>688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row>
    <row r="20" spans="1:75" x14ac:dyDescent="0.3">
      <c r="A20" s="5" t="s">
        <v>66</v>
      </c>
      <c r="B20" s="5"/>
      <c r="C20" s="72">
        <v>4</v>
      </c>
      <c r="D20" s="72">
        <v>4</v>
      </c>
      <c r="E20" s="72">
        <v>4</v>
      </c>
      <c r="F20" s="72">
        <v>4</v>
      </c>
      <c r="G20" s="72">
        <v>4</v>
      </c>
      <c r="H20" s="72">
        <v>4</v>
      </c>
      <c r="I20" s="72">
        <v>4</v>
      </c>
      <c r="J20" s="72">
        <v>4</v>
      </c>
      <c r="K20" s="72">
        <v>4</v>
      </c>
      <c r="L20" s="72">
        <v>4</v>
      </c>
      <c r="M20" s="72">
        <v>4</v>
      </c>
      <c r="N20" s="72">
        <v>4</v>
      </c>
      <c r="O20" s="72">
        <v>4</v>
      </c>
      <c r="P20" s="72">
        <v>4</v>
      </c>
      <c r="Q20" s="72">
        <v>4</v>
      </c>
      <c r="R20" s="72">
        <v>4</v>
      </c>
      <c r="S20" s="72">
        <v>4</v>
      </c>
      <c r="T20" s="72">
        <v>4</v>
      </c>
      <c r="U20" s="72">
        <v>4</v>
      </c>
      <c r="V20" s="72">
        <v>4</v>
      </c>
      <c r="W20" s="72">
        <v>4</v>
      </c>
      <c r="X20" s="72">
        <v>4</v>
      </c>
      <c r="Y20" s="72">
        <v>4</v>
      </c>
      <c r="Z20" s="72">
        <v>4</v>
      </c>
      <c r="AA20" s="72">
        <v>4</v>
      </c>
      <c r="AB20" s="72">
        <v>4</v>
      </c>
      <c r="AC20" s="72">
        <v>4</v>
      </c>
      <c r="AD20" s="72">
        <v>4</v>
      </c>
      <c r="AE20" s="72">
        <v>4</v>
      </c>
      <c r="AF20" s="72">
        <v>4</v>
      </c>
      <c r="AG20" s="71">
        <f>AG$14</f>
        <v>80.197777777777773</v>
      </c>
      <c r="AH20" s="71">
        <f t="shared" ref="AH20:AR20" si="11">AH$14</f>
        <v>74.748333333333321</v>
      </c>
      <c r="AI20" s="71">
        <f t="shared" si="11"/>
        <v>71.018799999999999</v>
      </c>
      <c r="AJ20" s="71">
        <f t="shared" si="11"/>
        <v>68.614709333333337</v>
      </c>
      <c r="AK20" s="71">
        <f t="shared" si="11"/>
        <v>67.210203519999993</v>
      </c>
      <c r="AL20" s="71">
        <f t="shared" si="11"/>
        <v>66.635257590399988</v>
      </c>
      <c r="AM20" s="71">
        <f t="shared" si="11"/>
        <v>66.516512742207979</v>
      </c>
      <c r="AN20" s="71">
        <f t="shared" si="11"/>
        <v>66.473942997052163</v>
      </c>
      <c r="AO20" s="71">
        <f t="shared" si="11"/>
        <v>67.803421856993197</v>
      </c>
      <c r="AP20" s="71">
        <f t="shared" si="11"/>
        <v>69.159490294133064</v>
      </c>
      <c r="AQ20" s="71">
        <f t="shared" si="11"/>
        <v>70.542680100015716</v>
      </c>
      <c r="AR20" s="71">
        <f t="shared" si="11"/>
        <v>71.953533702016031</v>
      </c>
      <c r="AS20" s="71">
        <f t="shared" ref="AS20:BW20" si="12">AS$14</f>
        <v>73.392604376056354</v>
      </c>
      <c r="AT20" s="71">
        <f t="shared" si="12"/>
        <v>74.860456463577492</v>
      </c>
      <c r="AU20" s="71">
        <f t="shared" si="12"/>
        <v>76.357665592849045</v>
      </c>
      <c r="AV20" s="71">
        <f t="shared" si="12"/>
        <v>77.884818904706023</v>
      </c>
      <c r="AW20" s="71">
        <f t="shared" si="12"/>
        <v>79.442515282800144</v>
      </c>
      <c r="AX20" s="71">
        <f t="shared" si="12"/>
        <v>81.03136558845614</v>
      </c>
      <c r="AY20" s="71">
        <f t="shared" si="12"/>
        <v>82.651992900225267</v>
      </c>
      <c r="AZ20" s="71">
        <f t="shared" si="12"/>
        <v>84.305032758229771</v>
      </c>
      <c r="BA20" s="71">
        <f t="shared" si="12"/>
        <v>85.991133413394351</v>
      </c>
      <c r="BB20" s="71">
        <f t="shared" si="12"/>
        <v>87.71095608166226</v>
      </c>
      <c r="BC20" s="71">
        <f t="shared" si="12"/>
        <v>89.465175203295502</v>
      </c>
      <c r="BD20" s="71">
        <f t="shared" si="12"/>
        <v>91.254478707361415</v>
      </c>
      <c r="BE20" s="71">
        <f t="shared" si="12"/>
        <v>93.079568281508642</v>
      </c>
      <c r="BF20" s="71">
        <f t="shared" si="12"/>
        <v>94.941159647138818</v>
      </c>
      <c r="BG20" s="71">
        <f t="shared" si="12"/>
        <v>96.839982840081589</v>
      </c>
      <c r="BH20" s="71">
        <f t="shared" si="12"/>
        <v>98.776782496883214</v>
      </c>
      <c r="BI20" s="71">
        <f t="shared" si="12"/>
        <v>100.75231814682088</v>
      </c>
      <c r="BJ20" s="71">
        <f t="shared" si="12"/>
        <v>102.76736450975731</v>
      </c>
      <c r="BK20" s="71">
        <f t="shared" si="12"/>
        <v>104.82271179995246</v>
      </c>
      <c r="BL20" s="71">
        <f t="shared" si="12"/>
        <v>106.91916603595149</v>
      </c>
      <c r="BM20" s="71">
        <f t="shared" si="12"/>
        <v>109.05754935667052</v>
      </c>
      <c r="BN20" s="71">
        <f t="shared" si="12"/>
        <v>111.23870034380394</v>
      </c>
      <c r="BO20" s="71">
        <f t="shared" si="12"/>
        <v>113.46347435068002</v>
      </c>
      <c r="BP20" s="71">
        <f t="shared" si="12"/>
        <v>115.73274383769362</v>
      </c>
      <c r="BQ20" s="71">
        <f t="shared" si="12"/>
        <v>118.0473987144475</v>
      </c>
      <c r="BR20" s="71">
        <f t="shared" si="12"/>
        <v>120.40834668873644</v>
      </c>
      <c r="BS20" s="71">
        <f t="shared" si="12"/>
        <v>122.81651362251118</v>
      </c>
      <c r="BT20" s="71">
        <f t="shared" si="12"/>
        <v>125.27284389496143</v>
      </c>
      <c r="BU20" s="71">
        <f t="shared" si="12"/>
        <v>127.77830077286065</v>
      </c>
      <c r="BV20" s="71">
        <f t="shared" si="12"/>
        <v>130.33386678831786</v>
      </c>
      <c r="BW20" s="71">
        <f t="shared" si="12"/>
        <v>132.94054412408423</v>
      </c>
    </row>
    <row r="21" spans="1:75" x14ac:dyDescent="0.3">
      <c r="A21" s="5" t="s">
        <v>67</v>
      </c>
      <c r="B21" s="5"/>
      <c r="C21" s="72">
        <v>4</v>
      </c>
      <c r="D21" s="72">
        <v>4</v>
      </c>
      <c r="E21" s="72">
        <v>4</v>
      </c>
      <c r="F21" s="72">
        <v>4</v>
      </c>
      <c r="G21" s="72">
        <v>4</v>
      </c>
      <c r="H21" s="72">
        <v>4</v>
      </c>
      <c r="I21" s="72">
        <v>4</v>
      </c>
      <c r="J21" s="72">
        <v>4</v>
      </c>
      <c r="K21" s="72">
        <v>4</v>
      </c>
      <c r="L21" s="72">
        <v>4</v>
      </c>
      <c r="M21" s="72">
        <v>4</v>
      </c>
      <c r="N21" s="72">
        <v>4</v>
      </c>
      <c r="O21" s="72">
        <v>4</v>
      </c>
      <c r="P21" s="72">
        <v>4</v>
      </c>
      <c r="Q21" s="72">
        <v>4</v>
      </c>
      <c r="R21" s="72">
        <v>4</v>
      </c>
      <c r="S21" s="72">
        <v>4</v>
      </c>
      <c r="T21" s="72">
        <v>4</v>
      </c>
      <c r="U21" s="72">
        <v>4</v>
      </c>
      <c r="V21" s="72">
        <v>4</v>
      </c>
      <c r="W21" s="72">
        <v>4</v>
      </c>
      <c r="X21" s="72">
        <v>4</v>
      </c>
      <c r="Y21" s="72">
        <v>4</v>
      </c>
      <c r="Z21" s="72">
        <v>4</v>
      </c>
      <c r="AA21" s="72">
        <v>4</v>
      </c>
      <c r="AB21" s="72">
        <v>4</v>
      </c>
      <c r="AC21" s="72">
        <v>4</v>
      </c>
      <c r="AD21" s="72">
        <v>4</v>
      </c>
      <c r="AE21" s="72">
        <v>4</v>
      </c>
      <c r="AF21" s="72">
        <v>4</v>
      </c>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row>
    <row r="22" spans="1:75" x14ac:dyDescent="0.3">
      <c r="A22" s="5" t="s">
        <v>69</v>
      </c>
      <c r="B22" s="5"/>
      <c r="C22" s="72">
        <v>4</v>
      </c>
      <c r="D22" s="72">
        <v>4</v>
      </c>
      <c r="E22" s="72">
        <v>4</v>
      </c>
      <c r="F22" s="72">
        <v>4</v>
      </c>
      <c r="G22" s="72">
        <v>4</v>
      </c>
      <c r="H22" s="72">
        <v>4</v>
      </c>
      <c r="I22" s="72">
        <v>4</v>
      </c>
      <c r="J22" s="72">
        <v>4</v>
      </c>
      <c r="K22" s="72">
        <v>4</v>
      </c>
      <c r="L22" s="72">
        <v>4</v>
      </c>
      <c r="M22" s="72">
        <v>4</v>
      </c>
      <c r="N22" s="72">
        <v>4</v>
      </c>
      <c r="O22" s="72">
        <v>4</v>
      </c>
      <c r="P22" s="72">
        <v>4</v>
      </c>
      <c r="Q22" s="72">
        <v>4</v>
      </c>
      <c r="R22" s="72">
        <v>4</v>
      </c>
      <c r="S22" s="72">
        <v>4</v>
      </c>
      <c r="T22" s="72">
        <v>4</v>
      </c>
      <c r="U22" s="72">
        <v>4</v>
      </c>
      <c r="V22" s="72">
        <v>4</v>
      </c>
      <c r="W22" s="72">
        <v>4</v>
      </c>
      <c r="X22" s="72">
        <v>4</v>
      </c>
      <c r="Y22" s="72">
        <v>4</v>
      </c>
      <c r="Z22" s="72">
        <v>4</v>
      </c>
      <c r="AA22" s="72">
        <v>4</v>
      </c>
      <c r="AB22" s="72">
        <v>4</v>
      </c>
      <c r="AC22" s="72">
        <v>4</v>
      </c>
      <c r="AD22" s="72">
        <v>4</v>
      </c>
      <c r="AE22" s="72">
        <v>4</v>
      </c>
      <c r="AF22" s="72">
        <v>4</v>
      </c>
      <c r="AG22" s="71">
        <f t="shared" ref="AG22:BM22" si="13">AG$14</f>
        <v>80.197777777777773</v>
      </c>
      <c r="AH22" s="71">
        <f t="shared" si="13"/>
        <v>74.748333333333321</v>
      </c>
      <c r="AI22" s="71">
        <f t="shared" si="13"/>
        <v>71.018799999999999</v>
      </c>
      <c r="AJ22" s="71">
        <f t="shared" si="13"/>
        <v>68.614709333333337</v>
      </c>
      <c r="AK22" s="71">
        <f t="shared" si="13"/>
        <v>67.210203519999993</v>
      </c>
      <c r="AL22" s="71">
        <f t="shared" si="13"/>
        <v>66.635257590399988</v>
      </c>
      <c r="AM22" s="71">
        <f t="shared" si="13"/>
        <v>66.516512742207979</v>
      </c>
      <c r="AN22" s="71">
        <f t="shared" si="13"/>
        <v>66.473942997052163</v>
      </c>
      <c r="AO22" s="71">
        <f t="shared" si="13"/>
        <v>67.803421856993197</v>
      </c>
      <c r="AP22" s="71">
        <f t="shared" si="13"/>
        <v>69.159490294133064</v>
      </c>
      <c r="AQ22" s="71">
        <f t="shared" si="13"/>
        <v>70.542680100015716</v>
      </c>
      <c r="AR22" s="71">
        <f t="shared" si="13"/>
        <v>71.953533702016031</v>
      </c>
      <c r="AS22" s="71">
        <f t="shared" si="13"/>
        <v>73.392604376056354</v>
      </c>
      <c r="AT22" s="71">
        <f t="shared" si="13"/>
        <v>74.860456463577492</v>
      </c>
      <c r="AU22" s="71">
        <f t="shared" si="13"/>
        <v>76.357665592849045</v>
      </c>
      <c r="AV22" s="71">
        <f t="shared" si="13"/>
        <v>77.884818904706023</v>
      </c>
      <c r="AW22" s="71">
        <f t="shared" si="13"/>
        <v>79.442515282800144</v>
      </c>
      <c r="AX22" s="71">
        <f t="shared" si="13"/>
        <v>81.03136558845614</v>
      </c>
      <c r="AY22" s="71">
        <f t="shared" si="13"/>
        <v>82.651992900225267</v>
      </c>
      <c r="AZ22" s="71">
        <f t="shared" si="13"/>
        <v>84.305032758229771</v>
      </c>
      <c r="BA22" s="71">
        <f t="shared" si="13"/>
        <v>85.991133413394351</v>
      </c>
      <c r="BB22" s="71">
        <f t="shared" si="13"/>
        <v>87.71095608166226</v>
      </c>
      <c r="BC22" s="71">
        <f t="shared" si="13"/>
        <v>89.465175203295502</v>
      </c>
      <c r="BD22" s="71">
        <f t="shared" si="13"/>
        <v>91.254478707361415</v>
      </c>
      <c r="BE22" s="71">
        <f t="shared" si="13"/>
        <v>93.079568281508642</v>
      </c>
      <c r="BF22" s="71">
        <f t="shared" si="13"/>
        <v>94.941159647138818</v>
      </c>
      <c r="BG22" s="71">
        <f t="shared" si="13"/>
        <v>96.839982840081589</v>
      </c>
      <c r="BH22" s="71">
        <f t="shared" si="13"/>
        <v>98.776782496883214</v>
      </c>
      <c r="BI22" s="71">
        <f t="shared" si="13"/>
        <v>100.75231814682088</v>
      </c>
      <c r="BJ22" s="71">
        <f t="shared" si="13"/>
        <v>102.76736450975731</v>
      </c>
      <c r="BK22" s="71">
        <f t="shared" si="13"/>
        <v>104.82271179995246</v>
      </c>
      <c r="BL22" s="71">
        <f t="shared" si="13"/>
        <v>106.91916603595149</v>
      </c>
      <c r="BM22" s="71">
        <f t="shared" si="13"/>
        <v>109.05754935667052</v>
      </c>
      <c r="BN22" s="71">
        <f t="shared" ref="BN22:BW22" si="14">BN$14</f>
        <v>111.23870034380394</v>
      </c>
      <c r="BO22" s="71">
        <f t="shared" si="14"/>
        <v>113.46347435068002</v>
      </c>
      <c r="BP22" s="71">
        <f t="shared" si="14"/>
        <v>115.73274383769362</v>
      </c>
      <c r="BQ22" s="71">
        <f t="shared" si="14"/>
        <v>118.0473987144475</v>
      </c>
      <c r="BR22" s="71">
        <f t="shared" si="14"/>
        <v>120.40834668873644</v>
      </c>
      <c r="BS22" s="71">
        <f t="shared" si="14"/>
        <v>122.81651362251118</v>
      </c>
      <c r="BT22" s="71">
        <f t="shared" si="14"/>
        <v>125.27284389496143</v>
      </c>
      <c r="BU22" s="71">
        <f t="shared" si="14"/>
        <v>127.77830077286065</v>
      </c>
      <c r="BV22" s="71">
        <f t="shared" si="14"/>
        <v>130.33386678831786</v>
      </c>
      <c r="BW22" s="71">
        <f t="shared" si="14"/>
        <v>132.94054412408423</v>
      </c>
    </row>
    <row r="23" spans="1:75" x14ac:dyDescent="0.3">
      <c r="A23" s="5" t="s">
        <v>68</v>
      </c>
      <c r="B23" s="5"/>
      <c r="C23" s="72">
        <v>4</v>
      </c>
      <c r="D23" s="72">
        <v>4</v>
      </c>
      <c r="E23" s="72">
        <v>4</v>
      </c>
      <c r="F23" s="72">
        <v>4</v>
      </c>
      <c r="G23" s="72">
        <v>4</v>
      </c>
      <c r="H23" s="72">
        <v>4</v>
      </c>
      <c r="I23" s="72">
        <v>4</v>
      </c>
      <c r="J23" s="72">
        <v>4</v>
      </c>
      <c r="K23" s="72">
        <v>4</v>
      </c>
      <c r="L23" s="72">
        <v>4</v>
      </c>
      <c r="M23" s="72">
        <v>4</v>
      </c>
      <c r="N23" s="72">
        <v>4</v>
      </c>
      <c r="O23" s="72">
        <v>4</v>
      </c>
      <c r="P23" s="72">
        <v>4</v>
      </c>
      <c r="Q23" s="72">
        <v>4</v>
      </c>
      <c r="R23" s="72">
        <v>4</v>
      </c>
      <c r="S23" s="72">
        <v>4</v>
      </c>
      <c r="T23" s="72">
        <v>4</v>
      </c>
      <c r="U23" s="72">
        <v>4</v>
      </c>
      <c r="V23" s="72">
        <v>4</v>
      </c>
      <c r="W23" s="72">
        <v>4</v>
      </c>
      <c r="X23" s="72">
        <v>4</v>
      </c>
      <c r="Y23" s="72">
        <v>4</v>
      </c>
      <c r="Z23" s="72">
        <v>4</v>
      </c>
      <c r="AA23" s="72">
        <v>4</v>
      </c>
      <c r="AB23" s="72">
        <v>4</v>
      </c>
      <c r="AC23" s="72">
        <v>4</v>
      </c>
      <c r="AD23" s="72">
        <v>4</v>
      </c>
      <c r="AE23" s="72">
        <v>4</v>
      </c>
      <c r="AF23" s="72">
        <v>4</v>
      </c>
      <c r="AG23" s="71">
        <f ca="1">AG13-AG$13*AG24+AG15</f>
        <v>79.052463138501111</v>
      </c>
      <c r="AH23" s="71">
        <f t="shared" ref="AH23:AO23" ca="1" si="15">AH13-AH$13*AH24+AH15</f>
        <v>73.306476160188367</v>
      </c>
      <c r="AI23" s="71">
        <f t="shared" ca="1" si="15"/>
        <v>69.596923650744003</v>
      </c>
      <c r="AJ23" s="71">
        <f t="shared" ca="1" si="15"/>
        <v>67.214712894796392</v>
      </c>
      <c r="AK23" s="71">
        <f t="shared" ca="1" si="15"/>
        <v>65.932912715574233</v>
      </c>
      <c r="AL23" s="71">
        <f t="shared" ca="1" si="15"/>
        <v>65.566235242760115</v>
      </c>
      <c r="AM23" s="71">
        <f t="shared" ca="1" si="15"/>
        <v>65.507400839429337</v>
      </c>
      <c r="AN23" s="71">
        <f t="shared" ca="1" si="15"/>
        <v>65.471918271803517</v>
      </c>
      <c r="AO23" s="71">
        <f t="shared" ca="1" si="15"/>
        <v>66.786157249207463</v>
      </c>
      <c r="AP23" s="71">
        <f t="shared" ref="AP23" ca="1" si="16">AP13-AP$13*AP24+AP15</f>
        <v>68.123973406735971</v>
      </c>
      <c r="AQ23" s="71">
        <f t="shared" ref="AQ23" ca="1" si="17">AQ13-AQ$13*AQ24+AQ15</f>
        <v>69.486986925009617</v>
      </c>
      <c r="AR23" s="71">
        <f t="shared" ref="AR23" ca="1" si="18">AR13-AR$13*AR24+AR15</f>
        <v>70.900760885484758</v>
      </c>
      <c r="AS23" s="71">
        <f t="shared" ref="AS23" ca="1" si="19">AS13-AS$13*AS24+AS15</f>
        <v>72.323288737955124</v>
      </c>
      <c r="AT23" s="71">
        <f t="shared" ref="AT23" ca="1" si="20">AT13-AT$13*AT24+AT15</f>
        <v>73.77736466786871</v>
      </c>
      <c r="AU23" s="71">
        <f t="shared" ref="AU23" ca="1" si="21">AU13-AU$13*AU24+AU15</f>
        <v>75.239367469407256</v>
      </c>
      <c r="AV23" s="71">
        <f t="shared" ref="AV23" ca="1" si="22">AV13-AV$13*AV24+AV15</f>
        <v>76.725243720675991</v>
      </c>
      <c r="AW23" s="71">
        <f t="shared" ref="AW23" ca="1" si="23">AW13-AW$13*AW24+AW15</f>
        <v>78.237762293599729</v>
      </c>
      <c r="AX23" s="71">
        <f t="shared" ref="AX23" ca="1" si="24">AX13-AX$13*AX24+AX15</f>
        <v>79.788287842805502</v>
      </c>
      <c r="AY23" s="71">
        <f t="shared" ref="AY23" ca="1" si="25">AY13-AY$13*AY24+AY15</f>
        <v>81.376802104219351</v>
      </c>
      <c r="AZ23" s="71">
        <f t="shared" ref="AZ23" ca="1" si="26">AZ13-AZ$13*AZ24+AZ15</f>
        <v>83.001285262983799</v>
      </c>
      <c r="BA23" s="71">
        <f t="shared" ref="BA23" ca="1" si="27">BA13-BA$13*BA24+BA15</f>
        <v>84.654450811642704</v>
      </c>
      <c r="BB23" s="71">
        <f t="shared" ref="BB23" ca="1" si="28">BB13-BB$13*BB24+BB15</f>
        <v>86.349161811675543</v>
      </c>
      <c r="BC23" s="71">
        <f t="shared" ref="BC23" ca="1" si="29">BC13-BC$13*BC24+BC15</f>
        <v>88.043503782482247</v>
      </c>
      <c r="BD23" s="71">
        <f t="shared" ref="BD23" ca="1" si="30">BD13-BD$13*BD24+BD15</f>
        <v>89.769958726442823</v>
      </c>
      <c r="BE23" s="71">
        <f t="shared" ref="BE23" ca="1" si="31">BE13-BE$13*BE24+BE15</f>
        <v>91.493511257615808</v>
      </c>
      <c r="BF23" s="71">
        <f t="shared" ref="BF23" ca="1" si="32">BF13-BF$13*BF24+BF15</f>
        <v>93.224412221896316</v>
      </c>
      <c r="BG23" s="71">
        <f t="shared" ref="BG23" ca="1" si="33">BG13-BG$13*BG24+BG15</f>
        <v>95.14095081649748</v>
      </c>
      <c r="BH23" s="71">
        <f t="shared" ref="BH23" ca="1" si="34">BH13-BH$13*BH24+BH15</f>
        <v>97.127616752013267</v>
      </c>
      <c r="BI23" s="71">
        <f t="shared" ref="BI23" ca="1" si="35">BI13-BI$13*BI24+BI15</f>
        <v>99.073124252551679</v>
      </c>
      <c r="BJ23" s="71">
        <f t="shared" ref="BJ23" ca="1" si="36">BJ13-BJ$13*BJ24+BJ15</f>
        <v>102.76736450975731</v>
      </c>
      <c r="BK23" s="71">
        <f t="shared" ref="BK23" ca="1" si="37">BK13-BK$13*BK24+BK15</f>
        <v>104.82271179995246</v>
      </c>
      <c r="BL23" s="71">
        <f t="shared" ref="BL23" ca="1" si="38">BL13-BL$13*BL24+BL15</f>
        <v>106.91916603595149</v>
      </c>
      <c r="BM23" s="71">
        <f t="shared" ref="BM23" ca="1" si="39">BM13-BM$13*BM24+BM15</f>
        <v>109.05754935667052</v>
      </c>
      <c r="BN23" s="71">
        <f t="shared" ref="BN23" ca="1" si="40">BN13-BN$13*BN24+BN15</f>
        <v>111.23870034380394</v>
      </c>
      <c r="BO23" s="71">
        <f t="shared" ref="BO23" ca="1" si="41">BO13-BO$13*BO24+BO15</f>
        <v>113.46347435068002</v>
      </c>
      <c r="BP23" s="71">
        <f t="shared" ref="BP23" ca="1" si="42">BP13-BP$13*BP24+BP15</f>
        <v>115.73274383769362</v>
      </c>
      <c r="BQ23" s="71">
        <f t="shared" ref="BQ23" ca="1" si="43">BQ13-BQ$13*BQ24+BQ15</f>
        <v>118.0473987144475</v>
      </c>
      <c r="BR23" s="71">
        <f t="shared" ref="BR23" ca="1" si="44">BR13-BR$13*BR24+BR15</f>
        <v>120.40834668873644</v>
      </c>
      <c r="BS23" s="71">
        <f t="shared" ref="BS23" ca="1" si="45">BS13-BS$13*BS24+BS15</f>
        <v>122.81651362251118</v>
      </c>
      <c r="BT23" s="71">
        <f t="shared" ref="BT23" ca="1" si="46">BT13-BT$13*BT24+BT15</f>
        <v>125.27284389496143</v>
      </c>
      <c r="BU23" s="71">
        <f t="shared" ref="BU23" ca="1" si="47">BU13-BU$13*BU24+BU15</f>
        <v>127.77830077286065</v>
      </c>
      <c r="BV23" s="71">
        <f t="shared" ref="BV23" ca="1" si="48">BV13-BV$13*BV24+BV15</f>
        <v>130.33386678831786</v>
      </c>
      <c r="BW23" s="71">
        <f t="shared" ref="BW23" ca="1" si="49">BW13-BW$13*BW24+BW15</f>
        <v>132.94054412408423</v>
      </c>
    </row>
    <row r="24" spans="1:75" x14ac:dyDescent="0.3">
      <c r="A24" s="21" t="s">
        <v>752</v>
      </c>
      <c r="B24" s="5"/>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202">
        <f ca="1">SUMIFS(INDIRECT("'"&amp;$A23&amp;$B$3&amp;"'!"&amp;"$ai:$ai"),INDIRECT("'"&amp;$A11&amp;$B$3&amp;"'!"&amp;"$A:$A"),'Receita Líquida - O&amp;G'!AG$1)</f>
        <v>1.376616863897262E-2</v>
      </c>
      <c r="AH24" s="202">
        <f ca="1">SUMIFS(INDIRECT("'"&amp;$A23&amp;$B$3&amp;"'!"&amp;"$ai:$ai"),INDIRECT("'"&amp;$A11&amp;$B$3&amp;"'!"&amp;"$A:$A"),'Receita Líquida - O&amp;G'!AH$1)</f>
        <v>1.853088366470974E-2</v>
      </c>
      <c r="AI24" s="202">
        <f ca="1">SUMIFS(INDIRECT("'"&amp;$A23&amp;$B$3&amp;"'!"&amp;"$ai:$ai"),INDIRECT("'"&amp;$A11&amp;$B$3&amp;"'!"&amp;"$A:$A"),'Receita Líquida - O&amp;G'!AI$1)</f>
        <v>1.9178262061721102E-2</v>
      </c>
      <c r="AJ24" s="202">
        <f ca="1">SUMIFS(INDIRECT("'"&amp;$A23&amp;$B$3&amp;"'!"&amp;"$ai:$ai"),INDIRECT("'"&amp;$A11&amp;$B$3&amp;"'!"&amp;"$A:$A"),'Receita Líquida - O&amp;G'!AJ$1)</f>
        <v>1.9499010263055387E-2</v>
      </c>
      <c r="AK24" s="202">
        <f ca="1">SUMIFS(INDIRECT("'"&amp;$A23&amp;$B$3&amp;"'!"&amp;"$ai:$ai"),INDIRECT("'"&amp;$A11&amp;$B$3&amp;"'!"&amp;"$A:$A"),'Receita Líquida - O&amp;G'!AK$1)</f>
        <v>1.8128528608391647E-2</v>
      </c>
      <c r="AL24" s="202">
        <f ca="1">SUMIFS(INDIRECT("'"&amp;$A23&amp;$B$3&amp;"'!"&amp;"$ai:$ai"),INDIRECT("'"&amp;$A11&amp;$B$3&amp;"'!"&amp;"$A:$A"),'Receita Líquida - O&amp;G'!AL$1)</f>
        <v>1.5283210231099981E-2</v>
      </c>
      <c r="AM24" s="202">
        <f ca="1">SUMIFS(INDIRECT("'"&amp;$A23&amp;$B$3&amp;"'!"&amp;"$ai:$ai"),INDIRECT("'"&amp;$A11&amp;$B$3&amp;"'!"&amp;"$A:$A"),'Receita Líquida - O&amp;G'!AM$1)</f>
        <v>1.4437540636363679E-2</v>
      </c>
      <c r="AN24" s="202">
        <f ca="1">SUMIFS(INDIRECT("'"&amp;$A23&amp;$B$3&amp;"'!"&amp;"$ai:$ai"),INDIRECT("'"&amp;$A11&amp;$B$3&amp;"'!"&amp;"$A:$A"),'Receita Líquida - O&amp;G'!AN$1)</f>
        <v>1.433101723753784E-2</v>
      </c>
      <c r="AO24" s="202">
        <f ca="1">SUMIFS(INDIRECT("'"&amp;$A23&amp;$B$3&amp;"'!"&amp;"$ai:$ai"),INDIRECT("'"&amp;$A11&amp;$B$3&amp;"'!"&amp;"$A:$A"),'Receita Líquida - O&amp;G'!AO$1)</f>
        <v>1.4263704847356834E-2</v>
      </c>
      <c r="AP24" s="202">
        <f ca="1">SUMIFS(INDIRECT("'"&amp;$A23&amp;$B$3&amp;"'!"&amp;"$ai:$ai"),INDIRECT("'"&amp;$A11&amp;$B$3&amp;"'!"&amp;"$A:$A"),'Receita Líquida - O&amp;G'!AP$1)</f>
        <v>1.4234932846264569E-2</v>
      </c>
      <c r="AQ24" s="202">
        <f ca="1">SUMIFS(INDIRECT("'"&amp;$A23&amp;$B$3&amp;"'!"&amp;"$ai:$ai"),INDIRECT("'"&amp;$A11&amp;$B$3&amp;"'!"&amp;"$A:$A"),'Receita Líquida - O&amp;G'!AQ$1)</f>
        <v>1.4227735372384614E-2</v>
      </c>
      <c r="AR24" s="202">
        <f ca="1">SUMIFS(INDIRECT("'"&amp;$A23&amp;$B$3&amp;"'!"&amp;"$ai:$ai"),INDIRECT("'"&amp;$A11&amp;$B$3&amp;"'!"&amp;"$A:$A"),'Receita Líquida - O&amp;G'!AR$1)</f>
        <v>1.3910173787149134E-2</v>
      </c>
      <c r="AS24" s="202">
        <f ca="1">SUMIFS(INDIRECT("'"&amp;$A23&amp;$B$3&amp;"'!"&amp;"$ai:$ai"),INDIRECT("'"&amp;$A11&amp;$B$3&amp;"'!"&amp;"$A:$A"),'Receita Líquida - O&amp;G'!AS$1)</f>
        <v>1.3851717947099924E-2</v>
      </c>
      <c r="AT24" s="202">
        <f ca="1">SUMIFS(INDIRECT("'"&amp;$A23&amp;$B$3&amp;"'!"&amp;"$ai:$ai"),INDIRECT("'"&amp;$A11&amp;$B$3&amp;"'!"&amp;"$A:$A"),'Receita Líquida - O&amp;G'!AT$1)</f>
        <v>1.3755070349972063E-2</v>
      </c>
      <c r="AU24" s="202">
        <f ca="1">SUMIFS(INDIRECT("'"&amp;$A23&amp;$B$3&amp;"'!"&amp;"$ai:$ai"),INDIRECT("'"&amp;$A11&amp;$B$3&amp;"'!"&amp;"$A:$A"),'Receita Líquida - O&amp;G'!AU$1)</f>
        <v>1.3923710155707791E-2</v>
      </c>
      <c r="AV24" s="202">
        <f ca="1">SUMIFS(INDIRECT("'"&amp;$A23&amp;$B$3&amp;"'!"&amp;"$ai:$ai"),INDIRECT("'"&amp;$A11&amp;$B$3&amp;"'!"&amp;"$A:$A"),'Receita Líquida - O&amp;G'!AV$1)</f>
        <v>1.4154551691084568E-2</v>
      </c>
      <c r="AW24" s="202">
        <f ca="1">SUMIFS(INDIRECT("'"&amp;$A23&amp;$B$3&amp;"'!"&amp;"$ai:$ai"),INDIRECT("'"&amp;$A11&amp;$B$3&amp;"'!"&amp;"$A:$A"),'Receita Líquida - O&amp;G'!AW$1)</f>
        <v>1.4417668875704653E-2</v>
      </c>
      <c r="AX24" s="202">
        <f ca="1">SUMIFS(INDIRECT("'"&amp;$A23&amp;$B$3&amp;"'!"&amp;"$ai:$ai"),INDIRECT("'"&amp;$A11&amp;$B$3&amp;"'!"&amp;"$A:$A"),'Receita Líquida - O&amp;G'!AX$1)</f>
        <v>1.4584621213631922E-2</v>
      </c>
      <c r="AY24" s="202">
        <f ca="1">SUMIFS(INDIRECT("'"&amp;$A23&amp;$B$3&amp;"'!"&amp;"$ai:$ai"),INDIRECT("'"&amp;$A11&amp;$B$3&amp;"'!"&amp;"$A:$A"),'Receita Líquida - O&amp;G'!AY$1)</f>
        <v>1.4668032394443848E-2</v>
      </c>
      <c r="AZ24" s="202">
        <f ca="1">SUMIFS(INDIRECT("'"&amp;$A23&amp;$B$3&amp;"'!"&amp;"$ai:$ai"),INDIRECT("'"&amp;$A11&amp;$B$3&amp;"'!"&amp;"$A:$A"),'Receita Líquida - O&amp;G'!AZ$1)</f>
        <v>1.4702459992607702E-2</v>
      </c>
      <c r="BA24" s="202">
        <f ca="1">SUMIFS(INDIRECT("'"&amp;$A23&amp;$B$3&amp;"'!"&amp;"$ai:$ai"),INDIRECT("'"&amp;$A11&amp;$B$3&amp;"'!"&amp;"$A:$A"),'Receita Líquida - O&amp;G'!BA$1)</f>
        <v>1.4778305590140923E-2</v>
      </c>
      <c r="BB24" s="202">
        <f ca="1">SUMIFS(INDIRECT("'"&amp;$A23&amp;$B$3&amp;"'!"&amp;"$ai:$ai"),INDIRECT("'"&amp;$A11&amp;$B$3&amp;"'!"&amp;"$A:$A"),'Receita Líquida - O&amp;G'!BB$1)</f>
        <v>1.4760724626006359E-2</v>
      </c>
      <c r="BC24" s="202">
        <f ca="1">SUMIFS(INDIRECT("'"&amp;$A23&amp;$B$3&amp;"'!"&amp;"$ai:$ai"),INDIRECT("'"&amp;$A11&amp;$B$3&amp;"'!"&amp;"$A:$A"),'Receita Líquida - O&amp;G'!BC$1)</f>
        <v>1.5107591631406738E-2</v>
      </c>
      <c r="BD24" s="202">
        <f ca="1">SUMIFS(INDIRECT("'"&amp;$A23&amp;$B$3&amp;"'!"&amp;"$ai:$ai"),INDIRECT("'"&amp;$A11&amp;$B$3&amp;"'!"&amp;"$A:$A"),'Receita Líquida - O&amp;G'!BD$1)</f>
        <v>1.5466137950161388E-2</v>
      </c>
      <c r="BE24" s="202">
        <f ca="1">SUMIFS(INDIRECT("'"&amp;$A23&amp;$B$3&amp;"'!"&amp;"$ai:$ai"),INDIRECT("'"&amp;$A11&amp;$B$3&amp;"'!"&amp;"$A:$A"),'Receita Líquida - O&amp;G'!BE$1)</f>
        <v>1.619997923911351E-2</v>
      </c>
      <c r="BF24" s="202">
        <f ca="1">SUMIFS(INDIRECT("'"&amp;$A23&amp;$B$3&amp;"'!"&amp;"$ai:$ai"),INDIRECT("'"&amp;$A11&amp;$B$3&amp;"'!"&amp;"$A:$A"),'Receita Líquida - O&amp;G'!BF$1)</f>
        <v>1.7191029808804891E-2</v>
      </c>
      <c r="BG24" s="202">
        <f ca="1">SUMIFS(INDIRECT("'"&amp;$A23&amp;$B$3&amp;"'!"&amp;"$ai:$ai"),INDIRECT("'"&amp;$A11&amp;$B$3&amp;"'!"&amp;"$A:$A"),'Receita Líquida - O&amp;G'!BG$1)</f>
        <v>1.6680032076984763E-2</v>
      </c>
      <c r="BH24" s="202">
        <f ca="1">SUMIFS(INDIRECT("'"&amp;$A23&amp;$B$3&amp;"'!"&amp;"$ai:$ai"),INDIRECT("'"&amp;$A11&amp;$B$3&amp;"'!"&amp;"$A:$A"),'Receita Líquida - O&amp;G'!BH$1)</f>
        <v>1.5873015873015872E-2</v>
      </c>
      <c r="BI24" s="202">
        <f ca="1">SUMIFS(INDIRECT("'"&amp;$A23&amp;$B$3&amp;"'!"&amp;"$ai:$ai"),INDIRECT("'"&amp;$A11&amp;$B$3&amp;"'!"&amp;"$A:$A"),'Receita Líquida - O&amp;G'!BI$1)</f>
        <v>1.5845130479276822E-2</v>
      </c>
      <c r="BJ24" s="202">
        <f ca="1">SUMIFS(INDIRECT("'"&amp;$A23&amp;$B$3&amp;"'!"&amp;"$ai:$ai"),INDIRECT("'"&amp;$A11&amp;$B$3&amp;"'!"&amp;"$A:$A"),'Receita Líquida - O&amp;G'!BJ$1)</f>
        <v>0</v>
      </c>
      <c r="BK24" s="202">
        <f ca="1">SUMIFS(INDIRECT("'"&amp;$A23&amp;$B$3&amp;"'!"&amp;"$ai:$ai"),INDIRECT("'"&amp;$A11&amp;$B$3&amp;"'!"&amp;"$A:$A"),'Receita Líquida - O&amp;G'!BK$1)</f>
        <v>0</v>
      </c>
      <c r="BL24" s="202">
        <f ca="1">SUMIFS(INDIRECT("'"&amp;$A23&amp;$B$3&amp;"'!"&amp;"$ai:$ai"),INDIRECT("'"&amp;$A11&amp;$B$3&amp;"'!"&amp;"$A:$A"),'Receita Líquida - O&amp;G'!BL$1)</f>
        <v>0</v>
      </c>
      <c r="BM24" s="202">
        <f ca="1">SUMIFS(INDIRECT("'"&amp;$A23&amp;$B$3&amp;"'!"&amp;"$ai:$ai"),INDIRECT("'"&amp;$A11&amp;$B$3&amp;"'!"&amp;"$A:$A"),'Receita Líquida - O&amp;G'!BM$1)</f>
        <v>0</v>
      </c>
      <c r="BN24" s="202">
        <f ca="1">SUMIFS(INDIRECT("'"&amp;$A23&amp;$B$3&amp;"'!"&amp;"$ai:$ai"),INDIRECT("'"&amp;$A11&amp;$B$3&amp;"'!"&amp;"$A:$A"),'Receita Líquida - O&amp;G'!BN$1)</f>
        <v>0</v>
      </c>
      <c r="BO24" s="202">
        <f ca="1">SUMIFS(INDIRECT("'"&amp;$A23&amp;$B$3&amp;"'!"&amp;"$ai:$ai"),INDIRECT("'"&amp;$A11&amp;$B$3&amp;"'!"&amp;"$A:$A"),'Receita Líquida - O&amp;G'!BO$1)</f>
        <v>0</v>
      </c>
      <c r="BP24" s="202">
        <f ca="1">SUMIFS(INDIRECT("'"&amp;$A23&amp;$B$3&amp;"'!"&amp;"$ai:$ai"),INDIRECT("'"&amp;$A11&amp;$B$3&amp;"'!"&amp;"$A:$A"),'Receita Líquida - O&amp;G'!BP$1)</f>
        <v>0</v>
      </c>
      <c r="BQ24" s="202">
        <f ca="1">SUMIFS(INDIRECT("'"&amp;$A23&amp;$B$3&amp;"'!"&amp;"$ai:$ai"),INDIRECT("'"&amp;$A11&amp;$B$3&amp;"'!"&amp;"$A:$A"),'Receita Líquida - O&amp;G'!BQ$1)</f>
        <v>0</v>
      </c>
      <c r="BR24" s="202">
        <f ca="1">SUMIFS(INDIRECT("'"&amp;$A23&amp;$B$3&amp;"'!"&amp;"$ai:$ai"),INDIRECT("'"&amp;$A11&amp;$B$3&amp;"'!"&amp;"$A:$A"),'Receita Líquida - O&amp;G'!BR$1)</f>
        <v>0</v>
      </c>
      <c r="BS24" s="202">
        <f ca="1">SUMIFS(INDIRECT("'"&amp;$A23&amp;$B$3&amp;"'!"&amp;"$ai:$ai"),INDIRECT("'"&amp;$A11&amp;$B$3&amp;"'!"&amp;"$A:$A"),'Receita Líquida - O&amp;G'!BS$1)</f>
        <v>0</v>
      </c>
      <c r="BT24" s="202">
        <f ca="1">SUMIFS(INDIRECT("'"&amp;$A23&amp;$B$3&amp;"'!"&amp;"$ai:$ai"),INDIRECT("'"&amp;$A11&amp;$B$3&amp;"'!"&amp;"$A:$A"),'Receita Líquida - O&amp;G'!BT$1)</f>
        <v>0</v>
      </c>
      <c r="BU24" s="202">
        <f ca="1">SUMIFS(INDIRECT("'"&amp;$A23&amp;$B$3&amp;"'!"&amp;"$ai:$ai"),INDIRECT("'"&amp;$A11&amp;$B$3&amp;"'!"&amp;"$A:$A"),'Receita Líquida - O&amp;G'!BU$1)</f>
        <v>0</v>
      </c>
      <c r="BV24" s="202">
        <f ca="1">SUMIFS(INDIRECT("'"&amp;$A23&amp;$B$3&amp;"'!"&amp;"$ai:$ai"),INDIRECT("'"&amp;$A11&amp;$B$3&amp;"'!"&amp;"$A:$A"),'Receita Líquida - O&amp;G'!BV$1)</f>
        <v>0</v>
      </c>
      <c r="BW24" s="202">
        <f ca="1">SUMIFS(INDIRECT("'"&amp;$A23&amp;$B$3&amp;"'!"&amp;"$ai:$ai"),INDIRECT("'"&amp;$A11&amp;$B$3&amp;"'!"&amp;"$A:$A"),'Receita Líquida - O&amp;G'!BW$1)</f>
        <v>0</v>
      </c>
    </row>
    <row r="25" spans="1:75" x14ac:dyDescent="0.3">
      <c r="AF25" s="77"/>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row>
    <row r="26" spans="1:75" x14ac:dyDescent="0.3">
      <c r="A26" s="4" t="s">
        <v>693</v>
      </c>
      <c r="B26" s="4"/>
      <c r="C26" s="51">
        <f t="shared" ref="C26:AA26" si="50">SUM(C27:C30)</f>
        <v>2452</v>
      </c>
      <c r="D26" s="51">
        <f t="shared" si="50"/>
        <v>1774</v>
      </c>
      <c r="E26" s="51">
        <f t="shared" si="50"/>
        <v>2683</v>
      </c>
      <c r="F26" s="51">
        <f t="shared" si="50"/>
        <v>3082</v>
      </c>
      <c r="G26" s="48">
        <f t="shared" si="50"/>
        <v>9991</v>
      </c>
      <c r="H26" s="51">
        <f t="shared" si="50"/>
        <v>1520.471</v>
      </c>
      <c r="I26" s="51">
        <f t="shared" si="50"/>
        <v>2000</v>
      </c>
      <c r="J26" s="51">
        <f t="shared" si="50"/>
        <v>1503</v>
      </c>
      <c r="K26" s="51">
        <f t="shared" si="50"/>
        <v>2328</v>
      </c>
      <c r="L26" s="48">
        <f t="shared" si="50"/>
        <v>7351.4709999999995</v>
      </c>
      <c r="M26" s="51">
        <f t="shared" si="50"/>
        <v>1452</v>
      </c>
      <c r="N26" s="51">
        <f t="shared" si="50"/>
        <v>1397</v>
      </c>
      <c r="O26" s="51">
        <f t="shared" si="50"/>
        <v>2398</v>
      </c>
      <c r="P26" s="51">
        <f t="shared" si="50"/>
        <v>3725</v>
      </c>
      <c r="Q26" s="48">
        <f t="shared" si="50"/>
        <v>8972</v>
      </c>
      <c r="R26" s="51">
        <f t="shared" si="50"/>
        <v>1928</v>
      </c>
      <c r="S26" s="51">
        <f t="shared" si="50"/>
        <v>2837</v>
      </c>
      <c r="T26" s="51">
        <f t="shared" si="50"/>
        <v>2484</v>
      </c>
      <c r="U26" s="51">
        <f t="shared" si="50"/>
        <v>3827</v>
      </c>
      <c r="V26" s="48">
        <f t="shared" si="50"/>
        <v>11076</v>
      </c>
      <c r="W26" s="51">
        <f t="shared" si="50"/>
        <v>2798</v>
      </c>
      <c r="X26" s="51">
        <f t="shared" si="50"/>
        <v>3347</v>
      </c>
      <c r="Y26" s="51">
        <f t="shared" si="50"/>
        <v>3847</v>
      </c>
      <c r="Z26" s="51">
        <f>SUM(Z27:Z30)</f>
        <v>2293</v>
      </c>
      <c r="AA26" s="48">
        <f t="shared" si="50"/>
        <v>12285</v>
      </c>
      <c r="AB26" s="51">
        <f>SUM(AB27:AB30)</f>
        <v>7290</v>
      </c>
      <c r="AC26" s="51">
        <f>SUM(AC27:AC30)</f>
        <v>7156</v>
      </c>
      <c r="AD26" s="51">
        <f>SUM(AD27:AD30)</f>
        <v>9772</v>
      </c>
      <c r="AE26" s="51">
        <f>SUM(AE27:AE30)</f>
        <v>8343</v>
      </c>
      <c r="AF26" s="48">
        <f>SUM(AB26:AE26)</f>
        <v>32561</v>
      </c>
      <c r="AG26" s="48">
        <f ca="1">AG7</f>
        <v>41329</v>
      </c>
      <c r="AH26" s="48">
        <f t="shared" ref="AH26:BL26" ca="1" si="51">AH7</f>
        <v>54228</v>
      </c>
      <c r="AI26" s="48">
        <f t="shared" ca="1" si="51"/>
        <v>57788</v>
      </c>
      <c r="AJ26" s="48">
        <f t="shared" ca="1" si="51"/>
        <v>60808</v>
      </c>
      <c r="AK26" s="48">
        <f t="shared" ca="1" si="51"/>
        <v>59713</v>
      </c>
      <c r="AL26" s="48">
        <f t="shared" ca="1" si="51"/>
        <v>60129</v>
      </c>
      <c r="AM26" s="48">
        <f t="shared" ca="1" si="51"/>
        <v>54435</v>
      </c>
      <c r="AN26" s="48">
        <f t="shared" ca="1" si="51"/>
        <v>46226</v>
      </c>
      <c r="AO26" s="48">
        <f t="shared" ca="1" si="51"/>
        <v>40054</v>
      </c>
      <c r="AP26" s="48">
        <f t="shared" ca="1" si="51"/>
        <v>35040</v>
      </c>
      <c r="AQ26" s="48">
        <f t="shared" ca="1" si="51"/>
        <v>30882</v>
      </c>
      <c r="AR26" s="48">
        <f t="shared" ca="1" si="51"/>
        <v>26878</v>
      </c>
      <c r="AS26" s="48">
        <f t="shared" ca="1" si="51"/>
        <v>23064</v>
      </c>
      <c r="AT26" s="48">
        <f t="shared" ca="1" si="51"/>
        <v>19874</v>
      </c>
      <c r="AU26" s="48">
        <f t="shared" ca="1" si="51"/>
        <v>17538</v>
      </c>
      <c r="AV26" s="48">
        <f t="shared" ca="1" si="51"/>
        <v>15635</v>
      </c>
      <c r="AW26" s="48">
        <f t="shared" ca="1" si="51"/>
        <v>12344</v>
      </c>
      <c r="AX26" s="48">
        <f t="shared" ca="1" si="51"/>
        <v>10815</v>
      </c>
      <c r="AY26" s="48">
        <f t="shared" ca="1" si="51"/>
        <v>9503</v>
      </c>
      <c r="AZ26" s="48">
        <f t="shared" ca="1" si="51"/>
        <v>8310</v>
      </c>
      <c r="BA26" s="48">
        <f t="shared" ca="1" si="51"/>
        <v>7380</v>
      </c>
      <c r="BB26" s="48">
        <f t="shared" ca="1" si="51"/>
        <v>6410</v>
      </c>
      <c r="BC26" s="48">
        <f t="shared" ca="1" si="51"/>
        <v>5809</v>
      </c>
      <c r="BD26" s="48">
        <f t="shared" ca="1" si="51"/>
        <v>5326</v>
      </c>
      <c r="BE26" s="48">
        <f t="shared" ca="1" si="51"/>
        <v>4915</v>
      </c>
      <c r="BF26" s="48">
        <f t="shared" ca="1" si="51"/>
        <v>4307</v>
      </c>
      <c r="BG26" s="48">
        <f t="shared" ca="1" si="51"/>
        <v>3925</v>
      </c>
      <c r="BH26" s="48">
        <f t="shared" ca="1" si="51"/>
        <v>3653</v>
      </c>
      <c r="BI26" s="48">
        <f t="shared" ca="1" si="51"/>
        <v>2290</v>
      </c>
      <c r="BJ26" s="48">
        <f t="shared" ca="1" si="51"/>
        <v>0</v>
      </c>
      <c r="BK26" s="48">
        <f t="shared" ca="1" si="51"/>
        <v>0</v>
      </c>
      <c r="BL26" s="48">
        <f t="shared" ca="1" si="51"/>
        <v>0</v>
      </c>
      <c r="BM26" s="48">
        <f t="shared" ref="BM26:BW26" ca="1" si="52">BM7</f>
        <v>0</v>
      </c>
      <c r="BN26" s="48">
        <f t="shared" ca="1" si="52"/>
        <v>0</v>
      </c>
      <c r="BO26" s="48">
        <f t="shared" ca="1" si="52"/>
        <v>0</v>
      </c>
      <c r="BP26" s="48">
        <f t="shared" ca="1" si="52"/>
        <v>0</v>
      </c>
      <c r="BQ26" s="48">
        <f t="shared" ca="1" si="52"/>
        <v>0</v>
      </c>
      <c r="BR26" s="48">
        <f t="shared" ca="1" si="52"/>
        <v>0</v>
      </c>
      <c r="BS26" s="48">
        <f t="shared" ca="1" si="52"/>
        <v>0</v>
      </c>
      <c r="BT26" s="48">
        <f t="shared" ca="1" si="52"/>
        <v>0</v>
      </c>
      <c r="BU26" s="48">
        <f t="shared" ca="1" si="52"/>
        <v>0</v>
      </c>
      <c r="BV26" s="48">
        <f t="shared" ca="1" si="52"/>
        <v>0</v>
      </c>
      <c r="BW26" s="48">
        <f t="shared" ca="1" si="52"/>
        <v>0</v>
      </c>
    </row>
    <row r="27" spans="1:75" x14ac:dyDescent="0.3">
      <c r="A27" s="5" t="s">
        <v>66</v>
      </c>
      <c r="B27" s="4"/>
      <c r="C27" s="51">
        <f>'Infos - Release Operacional'!C20</f>
        <v>1989</v>
      </c>
      <c r="D27" s="51">
        <f>'Infos - Release Operacional'!D20</f>
        <v>983</v>
      </c>
      <c r="E27" s="51">
        <f>'Infos - Release Operacional'!E20</f>
        <v>1990</v>
      </c>
      <c r="F27" s="51">
        <f>'Infos - Release Operacional'!F20</f>
        <v>1975</v>
      </c>
      <c r="G27" s="51">
        <f>'Infos - Release Operacional'!G20</f>
        <v>6937</v>
      </c>
      <c r="H27" s="51">
        <f>'Infos - Release Operacional'!H20</f>
        <v>975.471</v>
      </c>
      <c r="I27" s="51">
        <f>'Infos - Release Operacional'!I20</f>
        <v>975</v>
      </c>
      <c r="J27" s="51">
        <f>'Infos - Release Operacional'!J20</f>
        <v>995</v>
      </c>
      <c r="K27" s="51">
        <f>'Infos - Release Operacional'!K20</f>
        <v>1398</v>
      </c>
      <c r="L27" s="51">
        <f>'Infos - Release Operacional'!L20</f>
        <v>4343.4709999999995</v>
      </c>
      <c r="M27" s="51">
        <f>'Infos - Release Operacional'!M20</f>
        <v>982</v>
      </c>
      <c r="N27" s="51">
        <f>'Infos - Release Operacional'!N20</f>
        <v>950</v>
      </c>
      <c r="O27" s="51">
        <f>'Infos - Release Operacional'!O20</f>
        <v>993</v>
      </c>
      <c r="P27" s="51">
        <f>'Infos - Release Operacional'!P20</f>
        <v>1943</v>
      </c>
      <c r="Q27" s="51">
        <f>'Infos - Release Operacional'!Q20</f>
        <v>4868</v>
      </c>
      <c r="R27" s="51">
        <f>'Infos - Release Operacional'!R20</f>
        <v>1021</v>
      </c>
      <c r="S27" s="51">
        <f>'Infos - Release Operacional'!S20</f>
        <v>1530</v>
      </c>
      <c r="T27" s="51">
        <f>'Infos - Release Operacional'!T20</f>
        <v>986</v>
      </c>
      <c r="U27" s="51">
        <f>'Infos - Release Operacional'!U20</f>
        <v>2000</v>
      </c>
      <c r="V27" s="51">
        <f>'Infos - Release Operacional'!V20</f>
        <v>5537</v>
      </c>
      <c r="W27" s="51">
        <f>'Infos - Release Operacional'!W20</f>
        <v>1649</v>
      </c>
      <c r="X27" s="51">
        <f>'Infos - Release Operacional'!X20</f>
        <v>1503</v>
      </c>
      <c r="Y27" s="51">
        <f>'Infos - Release Operacional'!Y20</f>
        <v>2252</v>
      </c>
      <c r="Z27" s="51">
        <f>'Infos - Release Operacional'!Z20</f>
        <v>1495</v>
      </c>
      <c r="AA27" s="51">
        <f>'Infos - Release Operacional'!AA20</f>
        <v>6899</v>
      </c>
      <c r="AB27" s="51">
        <f>'Infos - Release Operacional'!AB20</f>
        <v>4334</v>
      </c>
      <c r="AC27" s="51">
        <f>'Infos - Release Operacional'!AC20</f>
        <v>4126</v>
      </c>
      <c r="AD27" s="51">
        <f>'Infos - Release Operacional'!AD20</f>
        <v>5278</v>
      </c>
      <c r="AE27" s="51">
        <f>'Infos - Release Operacional'!AE20</f>
        <v>4672</v>
      </c>
      <c r="AF27" s="51">
        <f>SUM(AB27:AE27)</f>
        <v>18410</v>
      </c>
      <c r="AG27" s="51">
        <f t="shared" ref="AG27:BL27" ca="1" si="53">AG8</f>
        <v>23335</v>
      </c>
      <c r="AH27" s="51">
        <f t="shared" ca="1" si="53"/>
        <v>28383</v>
      </c>
      <c r="AI27" s="51">
        <f t="shared" ca="1" si="53"/>
        <v>25695</v>
      </c>
      <c r="AJ27" s="51">
        <f t="shared" ca="1" si="53"/>
        <v>23434</v>
      </c>
      <c r="AK27" s="51">
        <f t="shared" ca="1" si="53"/>
        <v>21375</v>
      </c>
      <c r="AL27" s="51">
        <f t="shared" ca="1" si="53"/>
        <v>18543</v>
      </c>
      <c r="AM27" s="51">
        <f t="shared" ca="1" si="53"/>
        <v>15132</v>
      </c>
      <c r="AN27" s="51">
        <f t="shared" ca="1" si="53"/>
        <v>12677</v>
      </c>
      <c r="AO27" s="51">
        <f t="shared" ca="1" si="53"/>
        <v>11218</v>
      </c>
      <c r="AP27" s="51">
        <f t="shared" ca="1" si="53"/>
        <v>10314</v>
      </c>
      <c r="AQ27" s="51">
        <f t="shared" ca="1" si="53"/>
        <v>9567</v>
      </c>
      <c r="AR27" s="51">
        <f t="shared" ca="1" si="53"/>
        <v>8640</v>
      </c>
      <c r="AS27" s="51">
        <f t="shared" ca="1" si="53"/>
        <v>7314</v>
      </c>
      <c r="AT27" s="51">
        <f t="shared" ca="1" si="53"/>
        <v>6315</v>
      </c>
      <c r="AU27" s="51">
        <f t="shared" ca="1" si="53"/>
        <v>5619</v>
      </c>
      <c r="AV27" s="51">
        <f t="shared" ca="1" si="53"/>
        <v>5047</v>
      </c>
      <c r="AW27" s="51">
        <f t="shared" ca="1" si="53"/>
        <v>4566</v>
      </c>
      <c r="AX27" s="51">
        <f t="shared" ca="1" si="53"/>
        <v>4128</v>
      </c>
      <c r="AY27" s="51">
        <f t="shared" ca="1" si="53"/>
        <v>3760</v>
      </c>
      <c r="AZ27" s="51">
        <f t="shared" ca="1" si="53"/>
        <v>3440</v>
      </c>
      <c r="BA27" s="51">
        <f t="shared" ca="1" si="53"/>
        <v>3176</v>
      </c>
      <c r="BB27" s="51">
        <f t="shared" ca="1" si="53"/>
        <v>2893</v>
      </c>
      <c r="BC27" s="51">
        <f t="shared" ca="1" si="53"/>
        <v>2682</v>
      </c>
      <c r="BD27" s="51">
        <f t="shared" ca="1" si="53"/>
        <v>2501</v>
      </c>
      <c r="BE27" s="51">
        <f t="shared" ca="1" si="53"/>
        <v>2346</v>
      </c>
      <c r="BF27" s="51">
        <f t="shared" ca="1" si="53"/>
        <v>2190</v>
      </c>
      <c r="BG27" s="51">
        <f t="shared" ca="1" si="53"/>
        <v>2054</v>
      </c>
      <c r="BH27" s="51">
        <f t="shared" ca="1" si="53"/>
        <v>1930</v>
      </c>
      <c r="BI27" s="51">
        <f t="shared" ca="1" si="53"/>
        <v>1313</v>
      </c>
      <c r="BJ27" s="51">
        <f t="shared" ca="1" si="53"/>
        <v>0</v>
      </c>
      <c r="BK27" s="51">
        <f t="shared" ca="1" si="53"/>
        <v>0</v>
      </c>
      <c r="BL27" s="51">
        <f t="shared" ca="1" si="53"/>
        <v>0</v>
      </c>
      <c r="BM27" s="51">
        <f t="shared" ref="BM27:BW27" ca="1" si="54">BM8</f>
        <v>0</v>
      </c>
      <c r="BN27" s="51">
        <f t="shared" ca="1" si="54"/>
        <v>0</v>
      </c>
      <c r="BO27" s="51">
        <f t="shared" ca="1" si="54"/>
        <v>0</v>
      </c>
      <c r="BP27" s="51">
        <f t="shared" ca="1" si="54"/>
        <v>0</v>
      </c>
      <c r="BQ27" s="51">
        <f t="shared" ca="1" si="54"/>
        <v>0</v>
      </c>
      <c r="BR27" s="51">
        <f t="shared" ca="1" si="54"/>
        <v>0</v>
      </c>
      <c r="BS27" s="51">
        <f t="shared" ca="1" si="54"/>
        <v>0</v>
      </c>
      <c r="BT27" s="51">
        <f t="shared" ca="1" si="54"/>
        <v>0</v>
      </c>
      <c r="BU27" s="51">
        <f t="shared" ca="1" si="54"/>
        <v>0</v>
      </c>
      <c r="BV27" s="51">
        <f t="shared" ca="1" si="54"/>
        <v>0</v>
      </c>
      <c r="BW27" s="51">
        <f t="shared" ca="1" si="54"/>
        <v>0</v>
      </c>
    </row>
    <row r="28" spans="1:75" x14ac:dyDescent="0.3">
      <c r="A28" s="5" t="s">
        <v>67</v>
      </c>
      <c r="B28" s="4"/>
      <c r="C28" s="51">
        <f>'Infos - Release Operacional'!C23</f>
        <v>0</v>
      </c>
      <c r="D28" s="51">
        <f>'Infos - Release Operacional'!D23</f>
        <v>0</v>
      </c>
      <c r="E28" s="51">
        <f>'Infos - Release Operacional'!E23</f>
        <v>0</v>
      </c>
      <c r="F28" s="51">
        <f>'Infos - Release Operacional'!F23</f>
        <v>0</v>
      </c>
      <c r="G28" s="51">
        <f>'Infos - Release Operacional'!G23</f>
        <v>0</v>
      </c>
      <c r="H28" s="51">
        <f>'Infos - Release Operacional'!H23</f>
        <v>0</v>
      </c>
      <c r="I28" s="51">
        <f>'Infos - Release Operacional'!I23</f>
        <v>0</v>
      </c>
      <c r="J28" s="51">
        <f>'Infos - Release Operacional'!J23</f>
        <v>0</v>
      </c>
      <c r="K28" s="51">
        <f>'Infos - Release Operacional'!K23</f>
        <v>0</v>
      </c>
      <c r="L28" s="51">
        <f>'Infos - Release Operacional'!L23</f>
        <v>0</v>
      </c>
      <c r="M28" s="51">
        <f>'Infos - Release Operacional'!M23</f>
        <v>0</v>
      </c>
      <c r="N28" s="51">
        <f>'Infos - Release Operacional'!N23</f>
        <v>0</v>
      </c>
      <c r="O28" s="51">
        <f>'Infos - Release Operacional'!O23</f>
        <v>0</v>
      </c>
      <c r="P28" s="51">
        <f>'Infos - Release Operacional'!P23</f>
        <v>0</v>
      </c>
      <c r="Q28" s="51">
        <f>'Infos - Release Operacional'!Q23</f>
        <v>0</v>
      </c>
      <c r="R28" s="51">
        <f>'Infos - Release Operacional'!R23</f>
        <v>0</v>
      </c>
      <c r="S28" s="51">
        <f>'Infos - Release Operacional'!S23</f>
        <v>0</v>
      </c>
      <c r="T28" s="51">
        <f>'Infos - Release Operacional'!T23</f>
        <v>0</v>
      </c>
      <c r="U28" s="51">
        <f>'Infos - Release Operacional'!U23</f>
        <v>0</v>
      </c>
      <c r="V28" s="51">
        <f>'Infos - Release Operacional'!V23</f>
        <v>0</v>
      </c>
      <c r="W28" s="51">
        <f>'Infos - Release Operacional'!W23</f>
        <v>0</v>
      </c>
      <c r="X28" s="51">
        <f>'Infos - Release Operacional'!X23</f>
        <v>0</v>
      </c>
      <c r="Y28" s="51">
        <f>'Infos - Release Operacional'!Y23</f>
        <v>0</v>
      </c>
      <c r="Z28" s="51">
        <f>'Infos - Release Operacional'!Z23</f>
        <v>0</v>
      </c>
      <c r="AA28" s="51">
        <f>'Infos - Release Operacional'!AA23</f>
        <v>0</v>
      </c>
      <c r="AB28" s="51">
        <f>'Infos - Release Operacional'!AB23</f>
        <v>0</v>
      </c>
      <c r="AC28" s="51">
        <f>'Infos - Release Operacional'!AC23</f>
        <v>0</v>
      </c>
      <c r="AD28" s="51">
        <f>'Infos - Release Operacional'!AD23</f>
        <v>0</v>
      </c>
      <c r="AE28" s="51">
        <f>'Infos - Release Operacional'!AE23</f>
        <v>0</v>
      </c>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17"/>
      <c r="BV28" s="117"/>
      <c r="BW28" s="117"/>
    </row>
    <row r="29" spans="1:75" x14ac:dyDescent="0.3">
      <c r="A29" s="5" t="s">
        <v>69</v>
      </c>
      <c r="B29" s="4"/>
      <c r="C29" s="51">
        <f>'Infos - Release Operacional'!C22</f>
        <v>463</v>
      </c>
      <c r="D29" s="51">
        <f>'Infos - Release Operacional'!D22</f>
        <v>791</v>
      </c>
      <c r="E29" s="51">
        <f>'Infos - Release Operacional'!E22</f>
        <v>693</v>
      </c>
      <c r="F29" s="51">
        <f>'Infos - Release Operacional'!F22</f>
        <v>1107</v>
      </c>
      <c r="G29" s="51">
        <f>'Infos - Release Operacional'!G22</f>
        <v>3054</v>
      </c>
      <c r="H29" s="51">
        <f>'Infos - Release Operacional'!H22</f>
        <v>545</v>
      </c>
      <c r="I29" s="51">
        <f>'Infos - Release Operacional'!I22</f>
        <v>1025</v>
      </c>
      <c r="J29" s="51">
        <f>'Infos - Release Operacional'!J22</f>
        <v>508</v>
      </c>
      <c r="K29" s="51">
        <f>'Infos - Release Operacional'!K22</f>
        <v>930</v>
      </c>
      <c r="L29" s="51">
        <f>'Infos - Release Operacional'!L22</f>
        <v>3008</v>
      </c>
      <c r="M29" s="51">
        <f>'Infos - Release Operacional'!M22</f>
        <v>470</v>
      </c>
      <c r="N29" s="51">
        <f>'Infos - Release Operacional'!N22</f>
        <v>447</v>
      </c>
      <c r="O29" s="51">
        <f>'Infos - Release Operacional'!O22</f>
        <v>1405</v>
      </c>
      <c r="P29" s="51">
        <f>'Infos - Release Operacional'!P22</f>
        <v>1782</v>
      </c>
      <c r="Q29" s="51">
        <f>'Infos - Release Operacional'!Q22</f>
        <v>4104</v>
      </c>
      <c r="R29" s="51">
        <f>'Infos - Release Operacional'!R22</f>
        <v>907</v>
      </c>
      <c r="S29" s="51">
        <f>'Infos - Release Operacional'!S22</f>
        <v>1307</v>
      </c>
      <c r="T29" s="51">
        <f>'Infos - Release Operacional'!T22</f>
        <v>1498</v>
      </c>
      <c r="U29" s="51">
        <f>'Infos - Release Operacional'!U22</f>
        <v>1827</v>
      </c>
      <c r="V29" s="51">
        <f>'Infos - Release Operacional'!V22</f>
        <v>5539</v>
      </c>
      <c r="W29" s="51">
        <f>'Infos - Release Operacional'!W22</f>
        <v>1149</v>
      </c>
      <c r="X29" s="51">
        <f>'Infos - Release Operacional'!X22</f>
        <v>1844</v>
      </c>
      <c r="Y29" s="51">
        <f>'Infos - Release Operacional'!Y22</f>
        <v>1595</v>
      </c>
      <c r="Z29" s="51">
        <f>'Infos - Release Operacional'!Z22</f>
        <v>798</v>
      </c>
      <c r="AA29" s="51">
        <f>'Infos - Release Operacional'!AA22</f>
        <v>5386</v>
      </c>
      <c r="AB29" s="51">
        <f>'Infos - Release Operacional'!AB22</f>
        <v>1547</v>
      </c>
      <c r="AC29" s="51">
        <f>'Infos - Release Operacional'!AC22</f>
        <v>1602</v>
      </c>
      <c r="AD29" s="51">
        <f>'Infos - Release Operacional'!AD22</f>
        <v>1466</v>
      </c>
      <c r="AE29" s="51">
        <f>'Infos - Release Operacional'!AE22</f>
        <v>1843</v>
      </c>
      <c r="AF29" s="51">
        <f>SUM(AB29:AE29)</f>
        <v>6458</v>
      </c>
      <c r="AG29" s="51">
        <f t="shared" ref="AG29:BL29" ca="1" si="55">AG10</f>
        <v>5842</v>
      </c>
      <c r="AH29" s="51">
        <f t="shared" ca="1" si="55"/>
        <v>6560</v>
      </c>
      <c r="AI29" s="51">
        <f t="shared" ca="1" si="55"/>
        <v>6471</v>
      </c>
      <c r="AJ29" s="51">
        <f t="shared" ca="1" si="55"/>
        <v>6274</v>
      </c>
      <c r="AK29" s="51">
        <f t="shared" ca="1" si="55"/>
        <v>5606</v>
      </c>
      <c r="AL29" s="51">
        <f t="shared" ca="1" si="55"/>
        <v>4983</v>
      </c>
      <c r="AM29" s="51">
        <f t="shared" ca="1" si="55"/>
        <v>4466</v>
      </c>
      <c r="AN29" s="51">
        <f t="shared" ca="1" si="55"/>
        <v>3990</v>
      </c>
      <c r="AO29" s="51">
        <f t="shared" ca="1" si="55"/>
        <v>3590</v>
      </c>
      <c r="AP29" s="51">
        <f t="shared" ca="1" si="55"/>
        <v>3208</v>
      </c>
      <c r="AQ29" s="51">
        <f t="shared" ca="1" si="55"/>
        <v>2896</v>
      </c>
      <c r="AR29" s="51">
        <f t="shared" ca="1" si="55"/>
        <v>2603</v>
      </c>
      <c r="AS29" s="51">
        <f t="shared" ca="1" si="55"/>
        <v>2352</v>
      </c>
      <c r="AT29" s="51">
        <f t="shared" ca="1" si="55"/>
        <v>2120</v>
      </c>
      <c r="AU29" s="51">
        <f t="shared" ca="1" si="55"/>
        <v>1907</v>
      </c>
      <c r="AV29" s="51">
        <f t="shared" ca="1" si="55"/>
        <v>1731</v>
      </c>
      <c r="AW29" s="51">
        <f t="shared" ca="1" si="55"/>
        <v>0</v>
      </c>
      <c r="AX29" s="51">
        <f t="shared" ca="1" si="55"/>
        <v>0</v>
      </c>
      <c r="AY29" s="51">
        <f t="shared" ca="1" si="55"/>
        <v>0</v>
      </c>
      <c r="AZ29" s="51">
        <f t="shared" ca="1" si="55"/>
        <v>0</v>
      </c>
      <c r="BA29" s="51">
        <f t="shared" ca="1" si="55"/>
        <v>0</v>
      </c>
      <c r="BB29" s="51">
        <f t="shared" ca="1" si="55"/>
        <v>0</v>
      </c>
      <c r="BC29" s="51">
        <f t="shared" ca="1" si="55"/>
        <v>0</v>
      </c>
      <c r="BD29" s="51">
        <f t="shared" ca="1" si="55"/>
        <v>0</v>
      </c>
      <c r="BE29" s="51">
        <f t="shared" ca="1" si="55"/>
        <v>0</v>
      </c>
      <c r="BF29" s="51">
        <f t="shared" ca="1" si="55"/>
        <v>0</v>
      </c>
      <c r="BG29" s="51">
        <f t="shared" ca="1" si="55"/>
        <v>0</v>
      </c>
      <c r="BH29" s="51">
        <f t="shared" ca="1" si="55"/>
        <v>0</v>
      </c>
      <c r="BI29" s="51">
        <f t="shared" ca="1" si="55"/>
        <v>0</v>
      </c>
      <c r="BJ29" s="51">
        <f t="shared" ca="1" si="55"/>
        <v>0</v>
      </c>
      <c r="BK29" s="51">
        <f t="shared" ca="1" si="55"/>
        <v>0</v>
      </c>
      <c r="BL29" s="51">
        <f t="shared" ca="1" si="55"/>
        <v>0</v>
      </c>
      <c r="BM29" s="51">
        <f t="shared" ref="BM29:BW29" ca="1" si="56">BM10</f>
        <v>0</v>
      </c>
      <c r="BN29" s="51">
        <f t="shared" ca="1" si="56"/>
        <v>0</v>
      </c>
      <c r="BO29" s="51">
        <f t="shared" ca="1" si="56"/>
        <v>0</v>
      </c>
      <c r="BP29" s="51">
        <f t="shared" ca="1" si="56"/>
        <v>0</v>
      </c>
      <c r="BQ29" s="51">
        <f t="shared" ca="1" si="56"/>
        <v>0</v>
      </c>
      <c r="BR29" s="51">
        <f t="shared" ca="1" si="56"/>
        <v>0</v>
      </c>
      <c r="BS29" s="51">
        <f t="shared" ca="1" si="56"/>
        <v>0</v>
      </c>
      <c r="BT29" s="51">
        <f t="shared" ca="1" si="56"/>
        <v>0</v>
      </c>
      <c r="BU29" s="51">
        <f t="shared" ca="1" si="56"/>
        <v>0</v>
      </c>
      <c r="BV29" s="51">
        <f t="shared" ca="1" si="56"/>
        <v>0</v>
      </c>
      <c r="BW29" s="51">
        <f t="shared" ca="1" si="56"/>
        <v>0</v>
      </c>
    </row>
    <row r="30" spans="1:75" x14ac:dyDescent="0.3">
      <c r="A30" s="5" t="s">
        <v>68</v>
      </c>
      <c r="B30" s="4"/>
      <c r="C30" s="51">
        <f>'Infos - Release Operacional'!C21</f>
        <v>0</v>
      </c>
      <c r="D30" s="51">
        <f>'Infos - Release Operacional'!D21</f>
        <v>0</v>
      </c>
      <c r="E30" s="51">
        <f>'Infos - Release Operacional'!E21</f>
        <v>0</v>
      </c>
      <c r="F30" s="51">
        <f>'Infos - Release Operacional'!F21</f>
        <v>0</v>
      </c>
      <c r="G30" s="51">
        <f>'Infos - Release Operacional'!G21</f>
        <v>0</v>
      </c>
      <c r="H30" s="51">
        <f>'Infos - Release Operacional'!H21</f>
        <v>0</v>
      </c>
      <c r="I30" s="51">
        <f>'Infos - Release Operacional'!I21</f>
        <v>0</v>
      </c>
      <c r="J30" s="51">
        <f>'Infos - Release Operacional'!J21</f>
        <v>0</v>
      </c>
      <c r="K30" s="51">
        <f>'Infos - Release Operacional'!K21</f>
        <v>0</v>
      </c>
      <c r="L30" s="51">
        <f>'Infos - Release Operacional'!L21</f>
        <v>0</v>
      </c>
      <c r="M30" s="51">
        <f>'Infos - Release Operacional'!M21</f>
        <v>0</v>
      </c>
      <c r="N30" s="51">
        <f>'Infos - Release Operacional'!N21</f>
        <v>0</v>
      </c>
      <c r="O30" s="51">
        <f>'Infos - Release Operacional'!O21</f>
        <v>0</v>
      </c>
      <c r="P30" s="51">
        <f>'Infos - Release Operacional'!P21</f>
        <v>0</v>
      </c>
      <c r="Q30" s="51">
        <f>'Infos - Release Operacional'!Q21</f>
        <v>0</v>
      </c>
      <c r="R30" s="51">
        <f>'Infos - Release Operacional'!R21</f>
        <v>0</v>
      </c>
      <c r="S30" s="51">
        <f>'Infos - Release Operacional'!S21</f>
        <v>0</v>
      </c>
      <c r="T30" s="51">
        <f>'Infos - Release Operacional'!T21</f>
        <v>0</v>
      </c>
      <c r="U30" s="51">
        <f>'Infos - Release Operacional'!U21</f>
        <v>0</v>
      </c>
      <c r="V30" s="51">
        <f>'Infos - Release Operacional'!V21</f>
        <v>0</v>
      </c>
      <c r="W30" s="51">
        <f>'Infos - Release Operacional'!W21</f>
        <v>0</v>
      </c>
      <c r="X30" s="51">
        <f>'Infos - Release Operacional'!X21</f>
        <v>0</v>
      </c>
      <c r="Y30" s="51">
        <f>'Infos - Release Operacional'!Y21</f>
        <v>0</v>
      </c>
      <c r="Z30" s="51">
        <f>'Infos - Release Operacional'!Z21</f>
        <v>0</v>
      </c>
      <c r="AA30" s="51">
        <f>'Infos - Release Operacional'!AA21</f>
        <v>0</v>
      </c>
      <c r="AB30" s="51">
        <f>'Infos - Release Operacional'!AB21</f>
        <v>1409</v>
      </c>
      <c r="AC30" s="51">
        <f>'Infos - Release Operacional'!AC21</f>
        <v>1428</v>
      </c>
      <c r="AD30" s="51">
        <f>'Infos - Release Operacional'!AD21</f>
        <v>3028</v>
      </c>
      <c r="AE30" s="51">
        <f>'Infos - Release Operacional'!AE21</f>
        <v>1828</v>
      </c>
      <c r="AF30" s="51">
        <f>SUM(AB30:AE30)</f>
        <v>7693</v>
      </c>
      <c r="AG30" s="51">
        <f t="shared" ref="AG30:BL30" ca="1" si="57">AG11</f>
        <v>12152</v>
      </c>
      <c r="AH30" s="51">
        <f t="shared" ca="1" si="57"/>
        <v>19285</v>
      </c>
      <c r="AI30" s="51">
        <f t="shared" ca="1" si="57"/>
        <v>25622</v>
      </c>
      <c r="AJ30" s="51">
        <f t="shared" ca="1" si="57"/>
        <v>31100</v>
      </c>
      <c r="AK30" s="51">
        <f t="shared" ca="1" si="57"/>
        <v>32732</v>
      </c>
      <c r="AL30" s="51">
        <f t="shared" ca="1" si="57"/>
        <v>36603</v>
      </c>
      <c r="AM30" s="51">
        <f t="shared" ca="1" si="57"/>
        <v>34837</v>
      </c>
      <c r="AN30" s="51">
        <f t="shared" ca="1" si="57"/>
        <v>29559</v>
      </c>
      <c r="AO30" s="51">
        <f t="shared" ca="1" si="57"/>
        <v>25246</v>
      </c>
      <c r="AP30" s="51">
        <f t="shared" ca="1" si="57"/>
        <v>21518</v>
      </c>
      <c r="AQ30" s="51">
        <f t="shared" ca="1" si="57"/>
        <v>18419</v>
      </c>
      <c r="AR30" s="51">
        <f t="shared" ca="1" si="57"/>
        <v>15635</v>
      </c>
      <c r="AS30" s="51">
        <f t="shared" ca="1" si="57"/>
        <v>13398</v>
      </c>
      <c r="AT30" s="51">
        <f t="shared" ca="1" si="57"/>
        <v>11439</v>
      </c>
      <c r="AU30" s="51">
        <f t="shared" ca="1" si="57"/>
        <v>10012</v>
      </c>
      <c r="AV30" s="51">
        <f t="shared" ca="1" si="57"/>
        <v>8857</v>
      </c>
      <c r="AW30" s="51">
        <f t="shared" ca="1" si="57"/>
        <v>7778</v>
      </c>
      <c r="AX30" s="51">
        <f t="shared" ca="1" si="57"/>
        <v>6687</v>
      </c>
      <c r="AY30" s="51">
        <f t="shared" ca="1" si="57"/>
        <v>5743</v>
      </c>
      <c r="AZ30" s="51">
        <f t="shared" ca="1" si="57"/>
        <v>4870</v>
      </c>
      <c r="BA30" s="51">
        <f t="shared" ca="1" si="57"/>
        <v>4204</v>
      </c>
      <c r="BB30" s="51">
        <f t="shared" ca="1" si="57"/>
        <v>3517</v>
      </c>
      <c r="BC30" s="51">
        <f t="shared" ca="1" si="57"/>
        <v>3127</v>
      </c>
      <c r="BD30" s="51">
        <f t="shared" ca="1" si="57"/>
        <v>2825</v>
      </c>
      <c r="BE30" s="51">
        <f t="shared" ca="1" si="57"/>
        <v>2569</v>
      </c>
      <c r="BF30" s="51">
        <f t="shared" ca="1" si="57"/>
        <v>2117</v>
      </c>
      <c r="BG30" s="51">
        <f t="shared" ca="1" si="57"/>
        <v>1871</v>
      </c>
      <c r="BH30" s="51">
        <f t="shared" ca="1" si="57"/>
        <v>1723</v>
      </c>
      <c r="BI30" s="51">
        <f t="shared" ca="1" si="57"/>
        <v>977</v>
      </c>
      <c r="BJ30" s="51">
        <f t="shared" ca="1" si="57"/>
        <v>0</v>
      </c>
      <c r="BK30" s="51">
        <f t="shared" ca="1" si="57"/>
        <v>0</v>
      </c>
      <c r="BL30" s="51">
        <f t="shared" ca="1" si="57"/>
        <v>0</v>
      </c>
      <c r="BM30" s="51">
        <f t="shared" ref="BM30:BW30" ca="1" si="58">BM11</f>
        <v>0</v>
      </c>
      <c r="BN30" s="51">
        <f t="shared" ca="1" si="58"/>
        <v>0</v>
      </c>
      <c r="BO30" s="51">
        <f t="shared" ca="1" si="58"/>
        <v>0</v>
      </c>
      <c r="BP30" s="51">
        <f t="shared" ca="1" si="58"/>
        <v>0</v>
      </c>
      <c r="BQ30" s="51">
        <f t="shared" ca="1" si="58"/>
        <v>0</v>
      </c>
      <c r="BR30" s="51">
        <f t="shared" ca="1" si="58"/>
        <v>0</v>
      </c>
      <c r="BS30" s="51">
        <f t="shared" ca="1" si="58"/>
        <v>0</v>
      </c>
      <c r="BT30" s="51">
        <f t="shared" ca="1" si="58"/>
        <v>0</v>
      </c>
      <c r="BU30" s="51">
        <f t="shared" ca="1" si="58"/>
        <v>0</v>
      </c>
      <c r="BV30" s="51">
        <f t="shared" ca="1" si="58"/>
        <v>0</v>
      </c>
      <c r="BW30" s="51">
        <f t="shared" ca="1" si="58"/>
        <v>0</v>
      </c>
    </row>
    <row r="31" spans="1:75" x14ac:dyDescent="0.3">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row>
    <row r="32" spans="1:75" x14ac:dyDescent="0.3">
      <c r="A32" s="4" t="s">
        <v>692</v>
      </c>
      <c r="C32" s="72"/>
      <c r="D32" s="72"/>
      <c r="E32" s="72"/>
      <c r="F32" s="72"/>
      <c r="G32" s="72"/>
      <c r="H32" s="51">
        <f t="shared" ref="H32:AC32" si="59">H26*H14/1000</f>
        <v>97.918332400000011</v>
      </c>
      <c r="I32" s="51">
        <f t="shared" si="59"/>
        <v>137.22</v>
      </c>
      <c r="J32" s="51">
        <f t="shared" si="59"/>
        <v>93.651930000000007</v>
      </c>
      <c r="K32" s="51">
        <f t="shared" si="59"/>
        <v>146.38464000000002</v>
      </c>
      <c r="L32" s="48">
        <f t="shared" si="59"/>
        <v>475.17490240000006</v>
      </c>
      <c r="M32" s="51">
        <f t="shared" si="59"/>
        <v>46.159080000000003</v>
      </c>
      <c r="N32" s="51">
        <f t="shared" si="59"/>
        <v>49.02073</v>
      </c>
      <c r="O32" s="51">
        <f t="shared" si="59"/>
        <v>102.41858000000001</v>
      </c>
      <c r="P32" s="51">
        <f t="shared" si="59"/>
        <v>172.3185</v>
      </c>
      <c r="Q32" s="48">
        <f t="shared" si="59"/>
        <v>369.91689000000002</v>
      </c>
      <c r="R32" s="51">
        <f t="shared" si="59"/>
        <v>119.90231999999999</v>
      </c>
      <c r="S32" s="51">
        <f t="shared" si="59"/>
        <v>189.65344999999999</v>
      </c>
      <c r="T32" s="51">
        <f t="shared" si="59"/>
        <v>184.83444</v>
      </c>
      <c r="U32" s="51">
        <f t="shared" si="59"/>
        <v>318.36813000000001</v>
      </c>
      <c r="V32" s="48">
        <f t="shared" si="59"/>
        <v>812.75834000000009</v>
      </c>
      <c r="W32" s="51">
        <f t="shared" si="59"/>
        <v>308.56344000000001</v>
      </c>
      <c r="X32" s="51">
        <f t="shared" si="59"/>
        <v>362.71439000000004</v>
      </c>
      <c r="Y32" s="51">
        <f t="shared" si="59"/>
        <v>363.00291999999996</v>
      </c>
      <c r="Z32" s="51">
        <f>Z26*Z14/1000</f>
        <v>195.63875999999999</v>
      </c>
      <c r="AA32" s="48">
        <f t="shared" si="59"/>
        <v>1229.9195099999999</v>
      </c>
      <c r="AB32" s="51">
        <f t="shared" si="59"/>
        <v>604.55970000000002</v>
      </c>
      <c r="AC32" s="51">
        <f t="shared" si="59"/>
        <v>555.80651999999998</v>
      </c>
      <c r="AD32" s="51">
        <f>AD26*AD14/1000</f>
        <v>845.08256000000006</v>
      </c>
      <c r="AE32" s="51">
        <f>AE26*AE14/1000</f>
        <v>645.66476999999998</v>
      </c>
      <c r="AF32" s="48">
        <f>AF26*AF14/1000</f>
        <v>2651.1135500000005</v>
      </c>
    </row>
    <row r="33" spans="1:75" x14ac:dyDescent="0.3">
      <c r="A33" s="4" t="s">
        <v>689</v>
      </c>
      <c r="B33" s="4"/>
      <c r="C33" s="72"/>
      <c r="D33" s="72"/>
      <c r="E33" s="72"/>
      <c r="F33" s="72"/>
      <c r="G33" s="72"/>
      <c r="H33" s="51">
        <f t="shared" ref="H33:U33" si="60">H40/H17</f>
        <v>35.751538461538466</v>
      </c>
      <c r="I33" s="51">
        <f t="shared" si="60"/>
        <v>142.30519480519482</v>
      </c>
      <c r="J33" s="51">
        <f t="shared" si="60"/>
        <v>95.92427884615384</v>
      </c>
      <c r="K33" s="51">
        <f t="shared" si="60"/>
        <v>138.80472636815921</v>
      </c>
      <c r="L33" s="48">
        <f t="shared" si="60"/>
        <v>412.8929064657878</v>
      </c>
      <c r="M33" s="51">
        <f t="shared" si="60"/>
        <v>42.915769230769229</v>
      </c>
      <c r="N33" s="51">
        <f t="shared" si="60"/>
        <v>57.091956124314443</v>
      </c>
      <c r="O33" s="51">
        <f t="shared" si="60"/>
        <v>87.111408199643492</v>
      </c>
      <c r="P33" s="51">
        <f t="shared" si="60"/>
        <v>169.56358381502889</v>
      </c>
      <c r="Q33" s="48">
        <f t="shared" si="60"/>
        <v>354.76199347927337</v>
      </c>
      <c r="R33" s="51">
        <f t="shared" si="60"/>
        <v>114.97087719298244</v>
      </c>
      <c r="S33" s="51">
        <f t="shared" si="60"/>
        <v>204.56739999999999</v>
      </c>
      <c r="T33" s="51">
        <f t="shared" si="60"/>
        <v>172.70533088235294</v>
      </c>
      <c r="U33" s="51">
        <f t="shared" si="60"/>
        <v>318.69444444444446</v>
      </c>
      <c r="V33" s="48">
        <f>'Infos - Release Operacional'!V42/1000</f>
        <v>810.88199999999995</v>
      </c>
      <c r="W33" s="51">
        <f>'Infos - Release Operacional'!W42/1000</f>
        <v>309.67599999999999</v>
      </c>
      <c r="X33" s="51">
        <f>'Infos - Release Operacional'!X42/1000</f>
        <v>377.33699999999999</v>
      </c>
      <c r="Y33" s="51">
        <f>'Infos - Release Operacional'!Y42/1000</f>
        <v>378.15499999999997</v>
      </c>
      <c r="Z33" s="51">
        <f>'Infos - Release Operacional'!Z42/1000</f>
        <v>184.49100000000001</v>
      </c>
      <c r="AA33" s="48">
        <f>'Infos - Release Operacional'!AA42/1000</f>
        <v>1249.6590000000001</v>
      </c>
      <c r="AB33" s="51">
        <f>'Infos - Release Operacional'!AB42/1000</f>
        <v>564.71600000000001</v>
      </c>
      <c r="AC33" s="51">
        <f>'Infos - Release Operacional'!AC42/1000</f>
        <v>532.49</v>
      </c>
      <c r="AD33" s="51">
        <f>'Infos - Release Operacional'!AD42/1000</f>
        <v>835.25300000000004</v>
      </c>
      <c r="AE33" s="51">
        <f>'Infos - Release Operacional'!AE42/1000</f>
        <v>690.65200000000004</v>
      </c>
      <c r="AF33" s="48">
        <f>'Infos - Release Operacional'!AF42/1000</f>
        <v>2623.1109999999999</v>
      </c>
      <c r="AG33" s="48">
        <f ca="1">SUM(AG34:AG37)</f>
        <v>3300.5760942812876</v>
      </c>
      <c r="AH33" s="48">
        <f t="shared" ref="AH33:BL33" ca="1" si="61">SUM(AH34:AH37)</f>
        <v>4025.6464044158993</v>
      </c>
      <c r="AI33" s="48">
        <f t="shared" ca="1" si="61"/>
        <v>4067.6030985793632</v>
      </c>
      <c r="AJ33" s="48">
        <f t="shared" ca="1" si="61"/>
        <v>4128.783355902835</v>
      </c>
      <c r="AK33" s="48">
        <f t="shared" ca="1" si="61"/>
        <v>3971.5146001792955</v>
      </c>
      <c r="AL33" s="48">
        <f t="shared" ca="1" si="61"/>
        <v>3967.5819786624984</v>
      </c>
      <c r="AM33" s="48">
        <f t="shared" ca="1" si="61"/>
        <v>3585.6719397649913</v>
      </c>
      <c r="AN33" s="48">
        <f t="shared" ca="1" si="61"/>
        <v>3043.2056401281088</v>
      </c>
      <c r="AO33" s="48">
        <f t="shared" ca="1" si="61"/>
        <v>2690.1163967718467</v>
      </c>
      <c r="AP33" s="48">
        <f t="shared" ca="1" si="61"/>
        <v>2401.066287523412</v>
      </c>
      <c r="AQ33" s="48">
        <f t="shared" ca="1" si="61"/>
        <v>2159.054234258248</v>
      </c>
      <c r="AR33" s="48">
        <f t="shared" ca="1" si="61"/>
        <v>1917.5069758563204</v>
      </c>
      <c r="AS33" s="48">
        <f t="shared" ca="1" si="61"/>
        <v>1678.4003364100836</v>
      </c>
      <c r="AT33" s="48">
        <f t="shared" ca="1" si="61"/>
        <v>1475.3872247060262</v>
      </c>
      <c r="AU33" s="48">
        <f t="shared" ca="1" si="61"/>
        <v>1327.9643383554874</v>
      </c>
      <c r="AV33" s="48">
        <f t="shared" ca="1" si="61"/>
        <v>1207.4587861701248</v>
      </c>
      <c r="AW33" s="48">
        <f t="shared" ca="1" si="61"/>
        <v>971.26783990088416</v>
      </c>
      <c r="AX33" s="48">
        <f t="shared" ca="1" si="61"/>
        <v>868.04175795398737</v>
      </c>
      <c r="AY33" s="48">
        <f t="shared" ca="1" si="61"/>
        <v>778.11846778937866</v>
      </c>
      <c r="AZ33" s="48">
        <f t="shared" ca="1" si="61"/>
        <v>694.2255719190415</v>
      </c>
      <c r="BA33" s="48">
        <f t="shared" ca="1" si="61"/>
        <v>628.99515093308639</v>
      </c>
      <c r="BB33" s="48">
        <f t="shared" ca="1" si="61"/>
        <v>557.43779803591178</v>
      </c>
      <c r="BC33" s="48">
        <f t="shared" ca="1" si="61"/>
        <v>515.25763622306044</v>
      </c>
      <c r="BD33" s="48">
        <f t="shared" ca="1" si="61"/>
        <v>481.82758464931192</v>
      </c>
      <c r="BE33" s="48">
        <f t="shared" ca="1" si="61"/>
        <v>453.41149760923429</v>
      </c>
      <c r="BF33" s="48">
        <f t="shared" ca="1" si="61"/>
        <v>405.27722030098857</v>
      </c>
      <c r="BG33" s="48">
        <f t="shared" ca="1" si="61"/>
        <v>376.91804373119436</v>
      </c>
      <c r="BH33" s="48">
        <f t="shared" ca="1" si="61"/>
        <v>357.99007388270348</v>
      </c>
      <c r="BI33" s="48">
        <f t="shared" ca="1" si="61"/>
        <v>229.0822361215188</v>
      </c>
      <c r="BJ33" s="48">
        <f t="shared" ca="1" si="61"/>
        <v>0</v>
      </c>
      <c r="BK33" s="48">
        <f t="shared" ca="1" si="61"/>
        <v>0</v>
      </c>
      <c r="BL33" s="48">
        <f t="shared" ca="1" si="61"/>
        <v>0</v>
      </c>
      <c r="BM33" s="48">
        <f t="shared" ref="BM33:BW33" ca="1" si="62">SUM(BM34:BM37)</f>
        <v>0</v>
      </c>
      <c r="BN33" s="48">
        <f t="shared" ca="1" si="62"/>
        <v>0</v>
      </c>
      <c r="BO33" s="48">
        <f t="shared" ca="1" si="62"/>
        <v>0</v>
      </c>
      <c r="BP33" s="48">
        <f t="shared" ca="1" si="62"/>
        <v>0</v>
      </c>
      <c r="BQ33" s="48">
        <f t="shared" ca="1" si="62"/>
        <v>0</v>
      </c>
      <c r="BR33" s="48">
        <f t="shared" ca="1" si="62"/>
        <v>0</v>
      </c>
      <c r="BS33" s="48">
        <f t="shared" ca="1" si="62"/>
        <v>0</v>
      </c>
      <c r="BT33" s="48">
        <f t="shared" ca="1" si="62"/>
        <v>0</v>
      </c>
      <c r="BU33" s="48">
        <f t="shared" ca="1" si="62"/>
        <v>0</v>
      </c>
      <c r="BV33" s="48">
        <f t="shared" ca="1" si="62"/>
        <v>0</v>
      </c>
      <c r="BW33" s="48">
        <f t="shared" ca="1" si="62"/>
        <v>0</v>
      </c>
    </row>
    <row r="34" spans="1:75" x14ac:dyDescent="0.3">
      <c r="A34" s="5" t="s">
        <v>66</v>
      </c>
      <c r="B34" s="5"/>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51">
        <f ca="1">AG20*AG27/10^3</f>
        <v>1871.4151444444444</v>
      </c>
      <c r="AH34" s="51">
        <f ca="1">AH20*AH27/10^3</f>
        <v>2121.5819449999999</v>
      </c>
      <c r="AI34" s="51">
        <f t="shared" ref="AI34:BL34" ca="1" si="63">AI20*AI27/10^3</f>
        <v>1824.8280659999998</v>
      </c>
      <c r="AJ34" s="51">
        <f t="shared" ca="1" si="63"/>
        <v>1607.9170985173334</v>
      </c>
      <c r="AK34" s="51">
        <f t="shared" ca="1" si="63"/>
        <v>1436.6181002399999</v>
      </c>
      <c r="AL34" s="51">
        <f t="shared" ca="1" si="63"/>
        <v>1235.6175814987871</v>
      </c>
      <c r="AM34" s="51">
        <f t="shared" ca="1" si="63"/>
        <v>1006.5278708150912</v>
      </c>
      <c r="AN34" s="51">
        <f t="shared" ca="1" si="63"/>
        <v>842.69017537363027</v>
      </c>
      <c r="AO34" s="51">
        <f t="shared" ca="1" si="63"/>
        <v>760.61878639174961</v>
      </c>
      <c r="AP34" s="51">
        <f t="shared" ca="1" si="63"/>
        <v>713.31098289368833</v>
      </c>
      <c r="AQ34" s="51">
        <f t="shared" ca="1" si="63"/>
        <v>674.88182051685033</v>
      </c>
      <c r="AR34" s="51">
        <f t="shared" ca="1" si="63"/>
        <v>621.67853118541848</v>
      </c>
      <c r="AS34" s="51">
        <f t="shared" ca="1" si="63"/>
        <v>536.79350840647623</v>
      </c>
      <c r="AT34" s="51">
        <f t="shared" ca="1" si="63"/>
        <v>472.74378256749185</v>
      </c>
      <c r="AU34" s="51">
        <f t="shared" ca="1" si="63"/>
        <v>429.0537229662188</v>
      </c>
      <c r="AV34" s="51">
        <f t="shared" ca="1" si="63"/>
        <v>393.08468101205131</v>
      </c>
      <c r="AW34" s="51">
        <f t="shared" ca="1" si="63"/>
        <v>362.73452478126546</v>
      </c>
      <c r="AX34" s="51">
        <f t="shared" ca="1" si="63"/>
        <v>334.49747714914696</v>
      </c>
      <c r="AY34" s="51">
        <f t="shared" ca="1" si="63"/>
        <v>310.77149330484696</v>
      </c>
      <c r="AZ34" s="51">
        <f t="shared" ca="1" si="63"/>
        <v>290.00931268831039</v>
      </c>
      <c r="BA34" s="51">
        <f t="shared" ca="1" si="63"/>
        <v>273.10783972094043</v>
      </c>
      <c r="BB34" s="51">
        <f t="shared" ca="1" si="63"/>
        <v>253.74779594424891</v>
      </c>
      <c r="BC34" s="51">
        <f t="shared" ca="1" si="63"/>
        <v>239.94559989523853</v>
      </c>
      <c r="BD34" s="51">
        <f t="shared" ca="1" si="63"/>
        <v>228.22745124711091</v>
      </c>
      <c r="BE34" s="51">
        <f t="shared" ca="1" si="63"/>
        <v>218.36466718841928</v>
      </c>
      <c r="BF34" s="51">
        <f t="shared" ca="1" si="63"/>
        <v>207.92113962723403</v>
      </c>
      <c r="BG34" s="51">
        <f t="shared" ca="1" si="63"/>
        <v>198.90932475352759</v>
      </c>
      <c r="BH34" s="51">
        <f t="shared" ca="1" si="63"/>
        <v>190.63919021898462</v>
      </c>
      <c r="BI34" s="51">
        <f t="shared" ca="1" si="63"/>
        <v>132.28779372677582</v>
      </c>
      <c r="BJ34" s="51">
        <f t="shared" ca="1" si="63"/>
        <v>0</v>
      </c>
      <c r="BK34" s="51">
        <f t="shared" ca="1" si="63"/>
        <v>0</v>
      </c>
      <c r="BL34" s="51">
        <f t="shared" ca="1" si="63"/>
        <v>0</v>
      </c>
      <c r="BM34" s="51">
        <f t="shared" ref="BM34:BW34" ca="1" si="64">BM20*BM27/10^3</f>
        <v>0</v>
      </c>
      <c r="BN34" s="51">
        <f t="shared" ca="1" si="64"/>
        <v>0</v>
      </c>
      <c r="BO34" s="51">
        <f t="shared" ca="1" si="64"/>
        <v>0</v>
      </c>
      <c r="BP34" s="51">
        <f t="shared" ca="1" si="64"/>
        <v>0</v>
      </c>
      <c r="BQ34" s="51">
        <f t="shared" ca="1" si="64"/>
        <v>0</v>
      </c>
      <c r="BR34" s="51">
        <f t="shared" ca="1" si="64"/>
        <v>0</v>
      </c>
      <c r="BS34" s="51">
        <f t="shared" ca="1" si="64"/>
        <v>0</v>
      </c>
      <c r="BT34" s="51">
        <f t="shared" ca="1" si="64"/>
        <v>0</v>
      </c>
      <c r="BU34" s="51">
        <f t="shared" ca="1" si="64"/>
        <v>0</v>
      </c>
      <c r="BV34" s="51">
        <f t="shared" ca="1" si="64"/>
        <v>0</v>
      </c>
      <c r="BW34" s="51">
        <f t="shared" ca="1" si="64"/>
        <v>0</v>
      </c>
    </row>
    <row r="35" spans="1:75" x14ac:dyDescent="0.3">
      <c r="A35" s="5" t="s">
        <v>67</v>
      </c>
      <c r="B35" s="5"/>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7"/>
      <c r="BW35" s="117"/>
    </row>
    <row r="36" spans="1:75" x14ac:dyDescent="0.3">
      <c r="A36" s="5" t="s">
        <v>69</v>
      </c>
      <c r="B36" s="5"/>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51">
        <f t="shared" ref="AG36:BL36" ca="1" si="65">AG22*AG29/10^3</f>
        <v>468.51541777777777</v>
      </c>
      <c r="AH36" s="51">
        <f t="shared" ca="1" si="65"/>
        <v>490.3490666666666</v>
      </c>
      <c r="AI36" s="51">
        <f t="shared" ca="1" si="65"/>
        <v>459.56265480000002</v>
      </c>
      <c r="AJ36" s="51">
        <f t="shared" ca="1" si="65"/>
        <v>430.48868635733339</v>
      </c>
      <c r="AK36" s="51">
        <f t="shared" ca="1" si="65"/>
        <v>376.78040093311995</v>
      </c>
      <c r="AL36" s="51">
        <f t="shared" ca="1" si="65"/>
        <v>332.04348857296316</v>
      </c>
      <c r="AM36" s="51">
        <f t="shared" ca="1" si="65"/>
        <v>297.06274590670085</v>
      </c>
      <c r="AN36" s="51">
        <f t="shared" ca="1" si="65"/>
        <v>265.23103255823816</v>
      </c>
      <c r="AO36" s="51">
        <f t="shared" ca="1" si="65"/>
        <v>243.41428446660558</v>
      </c>
      <c r="AP36" s="51">
        <f t="shared" ca="1" si="65"/>
        <v>221.86364486357886</v>
      </c>
      <c r="AQ36" s="51">
        <f t="shared" ca="1" si="65"/>
        <v>204.29160156964551</v>
      </c>
      <c r="AR36" s="51">
        <f t="shared" ca="1" si="65"/>
        <v>187.29504822634772</v>
      </c>
      <c r="AS36" s="51">
        <f t="shared" ca="1" si="65"/>
        <v>172.61940549248453</v>
      </c>
      <c r="AT36" s="51">
        <f t="shared" ca="1" si="65"/>
        <v>158.7041677027843</v>
      </c>
      <c r="AU36" s="51">
        <f t="shared" ca="1" si="65"/>
        <v>145.61406828556312</v>
      </c>
      <c r="AV36" s="51">
        <f t="shared" ca="1" si="65"/>
        <v>134.81862152404611</v>
      </c>
      <c r="AW36" s="51">
        <f t="shared" ca="1" si="65"/>
        <v>0</v>
      </c>
      <c r="AX36" s="51">
        <f t="shared" ca="1" si="65"/>
        <v>0</v>
      </c>
      <c r="AY36" s="51">
        <f t="shared" ca="1" si="65"/>
        <v>0</v>
      </c>
      <c r="AZ36" s="51">
        <f t="shared" ca="1" si="65"/>
        <v>0</v>
      </c>
      <c r="BA36" s="51">
        <f t="shared" ca="1" si="65"/>
        <v>0</v>
      </c>
      <c r="BB36" s="51">
        <f t="shared" ca="1" si="65"/>
        <v>0</v>
      </c>
      <c r="BC36" s="51">
        <f t="shared" ca="1" si="65"/>
        <v>0</v>
      </c>
      <c r="BD36" s="51">
        <f t="shared" ca="1" si="65"/>
        <v>0</v>
      </c>
      <c r="BE36" s="51">
        <f t="shared" ca="1" si="65"/>
        <v>0</v>
      </c>
      <c r="BF36" s="51">
        <f t="shared" ca="1" si="65"/>
        <v>0</v>
      </c>
      <c r="BG36" s="51">
        <f t="shared" ca="1" si="65"/>
        <v>0</v>
      </c>
      <c r="BH36" s="51">
        <f t="shared" ca="1" si="65"/>
        <v>0</v>
      </c>
      <c r="BI36" s="51">
        <f t="shared" ca="1" si="65"/>
        <v>0</v>
      </c>
      <c r="BJ36" s="51">
        <f t="shared" ca="1" si="65"/>
        <v>0</v>
      </c>
      <c r="BK36" s="51">
        <f t="shared" ca="1" si="65"/>
        <v>0</v>
      </c>
      <c r="BL36" s="51">
        <f t="shared" ca="1" si="65"/>
        <v>0</v>
      </c>
      <c r="BM36" s="51">
        <f t="shared" ref="BM36:BW36" ca="1" si="66">BM22*BM29/10^3</f>
        <v>0</v>
      </c>
      <c r="BN36" s="51">
        <f t="shared" ca="1" si="66"/>
        <v>0</v>
      </c>
      <c r="BO36" s="51">
        <f t="shared" ca="1" si="66"/>
        <v>0</v>
      </c>
      <c r="BP36" s="51">
        <f t="shared" ca="1" si="66"/>
        <v>0</v>
      </c>
      <c r="BQ36" s="51">
        <f t="shared" ca="1" si="66"/>
        <v>0</v>
      </c>
      <c r="BR36" s="51">
        <f t="shared" ca="1" si="66"/>
        <v>0</v>
      </c>
      <c r="BS36" s="51">
        <f t="shared" ca="1" si="66"/>
        <v>0</v>
      </c>
      <c r="BT36" s="51">
        <f t="shared" ca="1" si="66"/>
        <v>0</v>
      </c>
      <c r="BU36" s="51">
        <f t="shared" ca="1" si="66"/>
        <v>0</v>
      </c>
      <c r="BV36" s="51">
        <f t="shared" ca="1" si="66"/>
        <v>0</v>
      </c>
      <c r="BW36" s="51">
        <f t="shared" ca="1" si="66"/>
        <v>0</v>
      </c>
    </row>
    <row r="37" spans="1:75" x14ac:dyDescent="0.3">
      <c r="A37" s="5" t="s">
        <v>68</v>
      </c>
      <c r="B37" s="5"/>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51">
        <f ca="1">AG23*AG30/10^3</f>
        <v>960.64553205906554</v>
      </c>
      <c r="AH37" s="51">
        <f t="shared" ref="AH37:BL37" ca="1" si="67">AH23*AH30/10^3</f>
        <v>1413.7153927492327</v>
      </c>
      <c r="AI37" s="51">
        <f t="shared" ca="1" si="67"/>
        <v>1783.2123777793629</v>
      </c>
      <c r="AJ37" s="51">
        <f t="shared" ca="1" si="67"/>
        <v>2090.3775710281679</v>
      </c>
      <c r="AK37" s="51">
        <f t="shared" ca="1" si="67"/>
        <v>2158.1160990061758</v>
      </c>
      <c r="AL37" s="51">
        <f t="shared" ca="1" si="67"/>
        <v>2399.9209085907482</v>
      </c>
      <c r="AM37" s="51">
        <f t="shared" ca="1" si="67"/>
        <v>2282.0813230431995</v>
      </c>
      <c r="AN37" s="51">
        <f t="shared" ca="1" si="67"/>
        <v>1935.2844321962402</v>
      </c>
      <c r="AO37" s="51">
        <f t="shared" ca="1" si="67"/>
        <v>1686.0833259134918</v>
      </c>
      <c r="AP37" s="51">
        <f t="shared" ca="1" si="67"/>
        <v>1465.8916597661446</v>
      </c>
      <c r="AQ37" s="51">
        <f t="shared" ca="1" si="67"/>
        <v>1279.880812171752</v>
      </c>
      <c r="AR37" s="51">
        <f t="shared" ca="1" si="67"/>
        <v>1108.5333964445542</v>
      </c>
      <c r="AS37" s="51">
        <f t="shared" ca="1" si="67"/>
        <v>968.98742251112276</v>
      </c>
      <c r="AT37" s="51">
        <f t="shared" ca="1" si="67"/>
        <v>843.93927443575024</v>
      </c>
      <c r="AU37" s="51">
        <f t="shared" ca="1" si="67"/>
        <v>753.29654710370551</v>
      </c>
      <c r="AV37" s="51">
        <f t="shared" ca="1" si="67"/>
        <v>679.55548363402727</v>
      </c>
      <c r="AW37" s="51">
        <f t="shared" ca="1" si="67"/>
        <v>608.53331511961869</v>
      </c>
      <c r="AX37" s="51">
        <f t="shared" ca="1" si="67"/>
        <v>533.54428080484035</v>
      </c>
      <c r="AY37" s="51">
        <f t="shared" ca="1" si="67"/>
        <v>467.34697448453176</v>
      </c>
      <c r="AZ37" s="51">
        <f t="shared" ca="1" si="67"/>
        <v>404.21625923073111</v>
      </c>
      <c r="BA37" s="51">
        <f t="shared" ca="1" si="67"/>
        <v>355.88731121214596</v>
      </c>
      <c r="BB37" s="51">
        <f t="shared" ca="1" si="67"/>
        <v>303.6900020916629</v>
      </c>
      <c r="BC37" s="51">
        <f t="shared" ca="1" si="67"/>
        <v>275.31203632782194</v>
      </c>
      <c r="BD37" s="51">
        <f t="shared" ca="1" si="67"/>
        <v>253.60013340220098</v>
      </c>
      <c r="BE37" s="51">
        <f t="shared" ca="1" si="67"/>
        <v>235.04683042081501</v>
      </c>
      <c r="BF37" s="51">
        <f t="shared" ca="1" si="67"/>
        <v>197.35608067375452</v>
      </c>
      <c r="BG37" s="51">
        <f t="shared" ca="1" si="67"/>
        <v>178.00871897766677</v>
      </c>
      <c r="BH37" s="51">
        <f t="shared" ca="1" si="67"/>
        <v>167.35088366371886</v>
      </c>
      <c r="BI37" s="51">
        <f t="shared" ca="1" si="67"/>
        <v>96.794442394742987</v>
      </c>
      <c r="BJ37" s="51">
        <f t="shared" ca="1" si="67"/>
        <v>0</v>
      </c>
      <c r="BK37" s="51">
        <f t="shared" ca="1" si="67"/>
        <v>0</v>
      </c>
      <c r="BL37" s="51">
        <f t="shared" ca="1" si="67"/>
        <v>0</v>
      </c>
      <c r="BM37" s="51">
        <f t="shared" ref="BM37:BW37" ca="1" si="68">BM23*BM30/10^3</f>
        <v>0</v>
      </c>
      <c r="BN37" s="51">
        <f t="shared" ca="1" si="68"/>
        <v>0</v>
      </c>
      <c r="BO37" s="51">
        <f t="shared" ca="1" si="68"/>
        <v>0</v>
      </c>
      <c r="BP37" s="51">
        <f t="shared" ca="1" si="68"/>
        <v>0</v>
      </c>
      <c r="BQ37" s="51">
        <f t="shared" ca="1" si="68"/>
        <v>0</v>
      </c>
      <c r="BR37" s="51">
        <f t="shared" ca="1" si="68"/>
        <v>0</v>
      </c>
      <c r="BS37" s="51">
        <f t="shared" ca="1" si="68"/>
        <v>0</v>
      </c>
      <c r="BT37" s="51">
        <f t="shared" ca="1" si="68"/>
        <v>0</v>
      </c>
      <c r="BU37" s="51">
        <f t="shared" ca="1" si="68"/>
        <v>0</v>
      </c>
      <c r="BV37" s="51">
        <f t="shared" ca="1" si="68"/>
        <v>0</v>
      </c>
      <c r="BW37" s="51">
        <f t="shared" ca="1" si="68"/>
        <v>0</v>
      </c>
    </row>
    <row r="39" spans="1:75" x14ac:dyDescent="0.3">
      <c r="A39" s="4" t="s">
        <v>691</v>
      </c>
      <c r="C39" s="72"/>
      <c r="D39" s="72"/>
      <c r="E39" s="72"/>
      <c r="F39" s="72"/>
      <c r="G39" s="72"/>
      <c r="H39" s="51">
        <f t="shared" ref="H39:U39" si="69">H32*H17</f>
        <v>381.88149636000003</v>
      </c>
      <c r="I39" s="51">
        <f t="shared" si="69"/>
        <v>528.29700000000003</v>
      </c>
      <c r="J39" s="51">
        <f t="shared" si="69"/>
        <v>389.59202880000004</v>
      </c>
      <c r="K39" s="51">
        <f t="shared" si="69"/>
        <v>588.46625280000001</v>
      </c>
      <c r="L39" s="51">
        <f t="shared" si="69"/>
        <v>1892.3840488080002</v>
      </c>
      <c r="M39" s="51">
        <f t="shared" si="69"/>
        <v>240.02721600000001</v>
      </c>
      <c r="N39" s="51">
        <f t="shared" si="69"/>
        <v>268.14339309999997</v>
      </c>
      <c r="O39" s="51">
        <f t="shared" si="69"/>
        <v>574.56823380000003</v>
      </c>
      <c r="P39" s="51">
        <f t="shared" si="69"/>
        <v>894.33301500000005</v>
      </c>
      <c r="Q39" s="51">
        <f t="shared" si="69"/>
        <v>1985.5289070750005</v>
      </c>
      <c r="R39" s="51">
        <f t="shared" si="69"/>
        <v>683.44322399999999</v>
      </c>
      <c r="S39" s="51">
        <f t="shared" si="69"/>
        <v>948.26724999999999</v>
      </c>
      <c r="T39" s="51">
        <f t="shared" si="69"/>
        <v>1005.4993536000001</v>
      </c>
      <c r="U39" s="51">
        <f t="shared" si="69"/>
        <v>1776.4941654000002</v>
      </c>
      <c r="V39" s="51">
        <f t="shared" ref="V39:AC39" si="70">V33*V17</f>
        <v>4403.0892599999997</v>
      </c>
      <c r="W39" s="51">
        <f t="shared" si="70"/>
        <v>1467.8642400000001</v>
      </c>
      <c r="X39" s="51">
        <f t="shared" si="70"/>
        <v>2018.7529499999998</v>
      </c>
      <c r="Y39" s="51">
        <f t="shared" si="70"/>
        <v>2045.81855</v>
      </c>
      <c r="Z39" s="51">
        <f>Z33*Z17</f>
        <v>975.95739000000003</v>
      </c>
      <c r="AA39" s="51">
        <f t="shared" si="70"/>
        <v>6495.1026525000007</v>
      </c>
      <c r="AB39" s="51">
        <f t="shared" si="70"/>
        <v>2857.4629599999998</v>
      </c>
      <c r="AC39" s="51">
        <f t="shared" si="70"/>
        <v>2550.6271000000002</v>
      </c>
      <c r="AD39" s="51">
        <f>AD33*AD17</f>
        <v>4201.3225900000007</v>
      </c>
      <c r="AE39" s="51">
        <f>AE33*AE17</f>
        <v>3349.6621999999998</v>
      </c>
      <c r="AF39" s="51">
        <f>AF33*AF17</f>
        <v>12938.495007499998</v>
      </c>
    </row>
    <row r="40" spans="1:75" x14ac:dyDescent="0.3">
      <c r="A40" s="4" t="s">
        <v>690</v>
      </c>
      <c r="B40" s="4"/>
      <c r="C40" s="72"/>
      <c r="D40" s="72"/>
      <c r="E40" s="72"/>
      <c r="F40" s="72"/>
      <c r="G40" s="72"/>
      <c r="H40" s="51">
        <f>'Fluxo de Caixa dos Acionistas'!H16/10^3</f>
        <v>139.43100000000001</v>
      </c>
      <c r="I40" s="51">
        <f>'Fluxo de Caixa dos Acionistas'!I16/10^3</f>
        <v>547.875</v>
      </c>
      <c r="J40" s="51">
        <f>'Fluxo de Caixa dos Acionistas'!J16/10^3</f>
        <v>399.04500000000002</v>
      </c>
      <c r="K40" s="51">
        <f>'Fluxo de Caixa dos Acionistas'!K16/10^3</f>
        <v>557.995</v>
      </c>
      <c r="L40" s="48">
        <f>'Fluxo de Caixa dos Acionistas'!L16/10^3</f>
        <v>1644.346</v>
      </c>
      <c r="M40" s="51">
        <f>'Fluxo de Caixa dos Acionistas'!M16/10^3</f>
        <v>223.16200000000001</v>
      </c>
      <c r="N40" s="51">
        <f>'Fluxo de Caixa dos Acionistas'!N16/10^3</f>
        <v>312.29300000000001</v>
      </c>
      <c r="O40" s="51">
        <f>'Fluxo de Caixa dos Acionistas'!O16/10^3</f>
        <v>488.69499999999999</v>
      </c>
      <c r="P40" s="51">
        <f>'Fluxo de Caixa dos Acionistas'!P16/10^3</f>
        <v>880.03499999999997</v>
      </c>
      <c r="Q40" s="48">
        <f>'Fluxo de Caixa dos Acionistas'!Q16/10^3</f>
        <v>1904.1849999999999</v>
      </c>
      <c r="R40" s="51">
        <f>'Fluxo de Caixa dos Acionistas'!R16/10^3</f>
        <v>655.33399999999995</v>
      </c>
      <c r="S40" s="51">
        <f>'Fluxo de Caixa dos Acionistas'!S16/10^3</f>
        <v>1022.837</v>
      </c>
      <c r="T40" s="51">
        <f>'Fluxo de Caixa dos Acionistas'!T16/10^3</f>
        <v>939.51700000000005</v>
      </c>
      <c r="U40" s="51">
        <f>'Fluxo de Caixa dos Acionistas'!U16/10^3</f>
        <v>1778.3150000000001</v>
      </c>
      <c r="V40" s="48">
        <f>'Fluxo de Caixa dos Acionistas'!V16/10^3</f>
        <v>4396.0029999999997</v>
      </c>
      <c r="W40" s="51">
        <f>'Fluxo de Caixa dos Acionistas'!W16/10^3</f>
        <v>1529.9949999999999</v>
      </c>
      <c r="X40" s="51">
        <f>'Fluxo de Caixa dos Acionistas'!X16/10^3</f>
        <v>1873.9849999999999</v>
      </c>
      <c r="Y40" s="51">
        <f>'Fluxo de Caixa dos Acionistas'!Y16/10^3</f>
        <v>1985.7860000000001</v>
      </c>
      <c r="Z40" s="51">
        <f>'Fluxo de Caixa dos Acionistas'!Z16/10^3</f>
        <v>973.70899999999995</v>
      </c>
      <c r="AA40" s="48">
        <f>'Fluxo de Caixa dos Acionistas'!AA16/10^3</f>
        <v>6363.4750000000004</v>
      </c>
      <c r="AB40" s="51">
        <f>'Fluxo de Caixa dos Acionistas'!AB16/10^3-AB79</f>
        <v>2814.9549999999999</v>
      </c>
      <c r="AC40" s="51">
        <f>'Fluxo de Caixa dos Acionistas'!AC16/10^3-AC79</f>
        <v>2311.2060000000001</v>
      </c>
      <c r="AD40" s="51">
        <f>'Fluxo de Caixa dos Acionistas'!AD16/10^3-AD79</f>
        <v>3783.6819999999998</v>
      </c>
      <c r="AE40" s="51">
        <f>'Fluxo de Caixa dos Acionistas'!AE16/10^3-AE79</f>
        <v>2995.1979999999999</v>
      </c>
      <c r="AF40" s="48">
        <f>'Fluxo de Caixa dos Acionistas'!AF16/10^3</f>
        <v>11905.040999999999</v>
      </c>
      <c r="AG40" s="48">
        <f t="shared" ref="AG40:BL40" ca="1" si="71">AG33*AG$17</f>
        <v>16280.751700261306</v>
      </c>
      <c r="AH40" s="48">
        <f t="shared" ca="1" si="71"/>
        <v>20128.232022079497</v>
      </c>
      <c r="AI40" s="48">
        <f t="shared" ca="1" si="71"/>
        <v>20500.71961683999</v>
      </c>
      <c r="AJ40" s="48">
        <f t="shared" ca="1" si="71"/>
        <v>21056.795115104458</v>
      </c>
      <c r="AK40" s="48">
        <f t="shared" ca="1" si="71"/>
        <v>20254.724460914407</v>
      </c>
      <c r="AL40" s="48">
        <f t="shared" ca="1" si="71"/>
        <v>20433.047190111869</v>
      </c>
      <c r="AM40" s="48">
        <f t="shared" ca="1" si="71"/>
        <v>18647.251769101371</v>
      </c>
      <c r="AN40" s="48">
        <f t="shared" ca="1" si="71"/>
        <v>15981.319538255808</v>
      </c>
      <c r="AO40" s="48">
        <f t="shared" ca="1" si="71"/>
        <v>14265.580849805927</v>
      </c>
      <c r="AP40" s="48">
        <f t="shared" ca="1" si="71"/>
        <v>12857.590529283802</v>
      </c>
      <c r="AQ40" s="48">
        <f t="shared" ca="1" si="71"/>
        <v>11674.977317215993</v>
      </c>
      <c r="AR40" s="48">
        <f t="shared" ca="1" si="71"/>
        <v>10470.477774941293</v>
      </c>
      <c r="AS40" s="48">
        <f t="shared" ca="1" si="71"/>
        <v>9254.6960001087336</v>
      </c>
      <c r="AT40" s="48">
        <f t="shared" ca="1" si="71"/>
        <v>8215.0397879029697</v>
      </c>
      <c r="AU40" s="48">
        <f t="shared" ca="1" si="71"/>
        <v>7466.6727597434983</v>
      </c>
      <c r="AV40" s="48">
        <f t="shared" ca="1" si="71"/>
        <v>6855.6726835866129</v>
      </c>
      <c r="AW40" s="48">
        <f t="shared" ca="1" si="71"/>
        <v>5568.6999780870374</v>
      </c>
      <c r="AX40" s="48">
        <f t="shared" ca="1" si="71"/>
        <v>5025.6528041598413</v>
      </c>
      <c r="AY40" s="48">
        <f t="shared" ca="1" si="71"/>
        <v>4549.1959123823272</v>
      </c>
      <c r="AZ40" s="48">
        <f t="shared" ca="1" si="71"/>
        <v>4098.5154558692993</v>
      </c>
      <c r="BA40" s="48">
        <f t="shared" ca="1" si="71"/>
        <v>3749.8191320893975</v>
      </c>
      <c r="BB40" s="48">
        <f t="shared" ca="1" si="71"/>
        <v>3355.8032444751461</v>
      </c>
      <c r="BC40" s="48">
        <f t="shared" ca="1" si="71"/>
        <v>3132.2871289879899</v>
      </c>
      <c r="BD40" s="48">
        <f t="shared" ca="1" si="71"/>
        <v>2957.7798214273548</v>
      </c>
      <c r="BE40" s="48">
        <f t="shared" ca="1" si="71"/>
        <v>2810.6305580406165</v>
      </c>
      <c r="BF40" s="48">
        <f t="shared" ca="1" si="71"/>
        <v>2536.8832537542439</v>
      </c>
      <c r="BG40" s="48">
        <f t="shared" ca="1" si="71"/>
        <v>2382.4964886306102</v>
      </c>
      <c r="BH40" s="48">
        <f t="shared" ca="1" si="71"/>
        <v>2285.0377475453388</v>
      </c>
      <c r="BI40" s="48">
        <f t="shared" ca="1" si="71"/>
        <v>1476.5591882033877</v>
      </c>
      <c r="BJ40" s="48">
        <f t="shared" ca="1" si="71"/>
        <v>0</v>
      </c>
      <c r="BK40" s="48">
        <f t="shared" ca="1" si="71"/>
        <v>0</v>
      </c>
      <c r="BL40" s="48">
        <f t="shared" ca="1" si="71"/>
        <v>0</v>
      </c>
      <c r="BM40" s="48">
        <f t="shared" ref="BM40:BW40" ca="1" si="72">BM33*BM$17</f>
        <v>0</v>
      </c>
      <c r="BN40" s="48">
        <f t="shared" ca="1" si="72"/>
        <v>0</v>
      </c>
      <c r="BO40" s="48">
        <f t="shared" ca="1" si="72"/>
        <v>0</v>
      </c>
      <c r="BP40" s="48">
        <f t="shared" ca="1" si="72"/>
        <v>0</v>
      </c>
      <c r="BQ40" s="48">
        <f t="shared" ca="1" si="72"/>
        <v>0</v>
      </c>
      <c r="BR40" s="48">
        <f t="shared" ca="1" si="72"/>
        <v>0</v>
      </c>
      <c r="BS40" s="48">
        <f t="shared" ca="1" si="72"/>
        <v>0</v>
      </c>
      <c r="BT40" s="48">
        <f t="shared" ca="1" si="72"/>
        <v>0</v>
      </c>
      <c r="BU40" s="48">
        <f t="shared" ca="1" si="72"/>
        <v>0</v>
      </c>
      <c r="BV40" s="48">
        <f t="shared" ca="1" si="72"/>
        <v>0</v>
      </c>
      <c r="BW40" s="48">
        <f t="shared" ca="1" si="72"/>
        <v>0</v>
      </c>
    </row>
    <row r="41" spans="1:75" x14ac:dyDescent="0.3">
      <c r="A41" s="5" t="s">
        <v>66</v>
      </c>
      <c r="B41" s="5"/>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v>4</v>
      </c>
      <c r="AD41" s="72">
        <v>5</v>
      </c>
      <c r="AE41" s="72">
        <v>5</v>
      </c>
      <c r="AF41" s="72">
        <v>5</v>
      </c>
      <c r="AG41" s="72">
        <v>5</v>
      </c>
      <c r="AH41" s="51">
        <f ca="1">AH34*AH$17</f>
        <v>10607.909725</v>
      </c>
      <c r="AI41" s="51">
        <f ca="1">AI34*AI$17</f>
        <v>9197.1334526399987</v>
      </c>
      <c r="AJ41" s="51">
        <f t="shared" ref="AJ41:BL41" ca="1" si="73">AJ34*AJ$17</f>
        <v>8200.3772024383998</v>
      </c>
      <c r="AK41" s="51">
        <f t="shared" ca="1" si="73"/>
        <v>7326.7523112239987</v>
      </c>
      <c r="AL41" s="51">
        <f t="shared" ca="1" si="73"/>
        <v>6363.4305447187544</v>
      </c>
      <c r="AM41" s="51">
        <f t="shared" ca="1" si="73"/>
        <v>5234.4383242535805</v>
      </c>
      <c r="AN41" s="51">
        <f t="shared" ca="1" si="73"/>
        <v>4425.3667208069064</v>
      </c>
      <c r="AO41" s="51">
        <f t="shared" ca="1" si="73"/>
        <v>4033.531339451938</v>
      </c>
      <c r="AP41" s="51">
        <f t="shared" ca="1" si="73"/>
        <v>3819.7448299305142</v>
      </c>
      <c r="AQ41" s="51">
        <f t="shared" ca="1" si="73"/>
        <v>3649.3895434926876</v>
      </c>
      <c r="AR41" s="51">
        <f t="shared" ca="1" si="73"/>
        <v>3394.6532272865193</v>
      </c>
      <c r="AS41" s="51">
        <f t="shared" ca="1" si="73"/>
        <v>2959.87830040565</v>
      </c>
      <c r="AT41" s="51">
        <f t="shared" ca="1" si="73"/>
        <v>2632.2642071470509</v>
      </c>
      <c r="AU41" s="51">
        <f t="shared" ca="1" si="73"/>
        <v>2412.4170003734057</v>
      </c>
      <c r="AV41" s="51">
        <f t="shared" ca="1" si="73"/>
        <v>2231.8442176385684</v>
      </c>
      <c r="AW41" s="51">
        <f t="shared" ca="1" si="73"/>
        <v>2079.7144281097349</v>
      </c>
      <c r="AX41" s="51">
        <f t="shared" ca="1" si="73"/>
        <v>1936.6213302702793</v>
      </c>
      <c r="AY41" s="51">
        <f t="shared" ca="1" si="73"/>
        <v>1816.896096867911</v>
      </c>
      <c r="AZ41" s="51">
        <f t="shared" ca="1" si="73"/>
        <v>1712.1346410697824</v>
      </c>
      <c r="BA41" s="51">
        <f t="shared" ca="1" si="73"/>
        <v>1628.1604094880108</v>
      </c>
      <c r="BB41" s="51">
        <f t="shared" ca="1" si="73"/>
        <v>1527.5743408653279</v>
      </c>
      <c r="BC41" s="51">
        <f t="shared" ca="1" si="73"/>
        <v>1458.6460468948612</v>
      </c>
      <c r="BD41" s="51">
        <f t="shared" ca="1" si="73"/>
        <v>1401.0126682261632</v>
      </c>
      <c r="BE41" s="51">
        <f t="shared" ca="1" si="73"/>
        <v>1353.6101524383591</v>
      </c>
      <c r="BF41" s="51">
        <f t="shared" ca="1" si="73"/>
        <v>1301.508278284402</v>
      </c>
      <c r="BG41" s="51">
        <f t="shared" ca="1" si="73"/>
        <v>1257.3045405041307</v>
      </c>
      <c r="BH41" s="51">
        <f t="shared" ca="1" si="73"/>
        <v>1216.8430847459404</v>
      </c>
      <c r="BI41" s="51">
        <f t="shared" ca="1" si="73"/>
        <v>852.66653853863329</v>
      </c>
      <c r="BJ41" s="51">
        <f t="shared" ca="1" si="73"/>
        <v>0</v>
      </c>
      <c r="BK41" s="51">
        <f t="shared" ca="1" si="73"/>
        <v>0</v>
      </c>
      <c r="BL41" s="51">
        <f t="shared" ca="1" si="73"/>
        <v>0</v>
      </c>
      <c r="BM41" s="51">
        <f t="shared" ref="BM41:BW41" ca="1" si="74">BM34*BM$17</f>
        <v>0</v>
      </c>
      <c r="BN41" s="51">
        <f t="shared" ca="1" si="74"/>
        <v>0</v>
      </c>
      <c r="BO41" s="51">
        <f t="shared" ca="1" si="74"/>
        <v>0</v>
      </c>
      <c r="BP41" s="51">
        <f t="shared" ca="1" si="74"/>
        <v>0</v>
      </c>
      <c r="BQ41" s="51">
        <f t="shared" ca="1" si="74"/>
        <v>0</v>
      </c>
      <c r="BR41" s="51">
        <f t="shared" ca="1" si="74"/>
        <v>0</v>
      </c>
      <c r="BS41" s="51">
        <f t="shared" ca="1" si="74"/>
        <v>0</v>
      </c>
      <c r="BT41" s="51">
        <f t="shared" ca="1" si="74"/>
        <v>0</v>
      </c>
      <c r="BU41" s="51">
        <f t="shared" ca="1" si="74"/>
        <v>0</v>
      </c>
      <c r="BV41" s="51">
        <f t="shared" ca="1" si="74"/>
        <v>0</v>
      </c>
      <c r="BW41" s="51">
        <f t="shared" ca="1" si="74"/>
        <v>0</v>
      </c>
    </row>
    <row r="42" spans="1:75" x14ac:dyDescent="0.3">
      <c r="A42" s="5" t="s">
        <v>67</v>
      </c>
      <c r="B42" s="5"/>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7"/>
      <c r="BW42" s="117"/>
    </row>
    <row r="43" spans="1:75" x14ac:dyDescent="0.3">
      <c r="A43" s="5" t="s">
        <v>69</v>
      </c>
      <c r="B43" s="5"/>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51">
        <f t="shared" ref="AH43:BL43" ca="1" si="75">AH36*AH$17</f>
        <v>2451.7453333333328</v>
      </c>
      <c r="AI43" s="51">
        <f t="shared" ca="1" si="75"/>
        <v>2316.1957801920003</v>
      </c>
      <c r="AJ43" s="51">
        <f t="shared" ca="1" si="75"/>
        <v>2195.4923004224001</v>
      </c>
      <c r="AK43" s="51">
        <f t="shared" ca="1" si="75"/>
        <v>1921.5800447589115</v>
      </c>
      <c r="AL43" s="51">
        <f t="shared" ca="1" si="75"/>
        <v>1710.0239661507603</v>
      </c>
      <c r="AM43" s="51">
        <f t="shared" ca="1" si="75"/>
        <v>1544.8718977079361</v>
      </c>
      <c r="AN43" s="51">
        <f t="shared" ca="1" si="75"/>
        <v>1392.8542412258073</v>
      </c>
      <c r="AO43" s="51">
        <f t="shared" ca="1" si="75"/>
        <v>1290.8163227520467</v>
      </c>
      <c r="AP43" s="51">
        <f t="shared" ca="1" si="75"/>
        <v>1188.0687816964407</v>
      </c>
      <c r="AQ43" s="51">
        <f t="shared" ca="1" si="75"/>
        <v>1104.6965734247751</v>
      </c>
      <c r="AR43" s="51">
        <f t="shared" ca="1" si="75"/>
        <v>1022.7178646558808</v>
      </c>
      <c r="AS43" s="51">
        <f t="shared" ca="1" si="75"/>
        <v>951.82304656194799</v>
      </c>
      <c r="AT43" s="51">
        <f t="shared" ca="1" si="75"/>
        <v>883.67381142545503</v>
      </c>
      <c r="AU43" s="51">
        <f t="shared" ca="1" si="75"/>
        <v>818.7362911037701</v>
      </c>
      <c r="AV43" s="51">
        <f t="shared" ca="1" si="75"/>
        <v>765.46905899194792</v>
      </c>
      <c r="AW43" s="51">
        <f t="shared" ca="1" si="75"/>
        <v>0</v>
      </c>
      <c r="AX43" s="51">
        <f t="shared" ca="1" si="75"/>
        <v>0</v>
      </c>
      <c r="AY43" s="51">
        <f t="shared" ca="1" si="75"/>
        <v>0</v>
      </c>
      <c r="AZ43" s="51">
        <f t="shared" ca="1" si="75"/>
        <v>0</v>
      </c>
      <c r="BA43" s="51">
        <f t="shared" ca="1" si="75"/>
        <v>0</v>
      </c>
      <c r="BB43" s="51">
        <f t="shared" ca="1" si="75"/>
        <v>0</v>
      </c>
      <c r="BC43" s="51">
        <f t="shared" ca="1" si="75"/>
        <v>0</v>
      </c>
      <c r="BD43" s="51">
        <f t="shared" ca="1" si="75"/>
        <v>0</v>
      </c>
      <c r="BE43" s="51">
        <f t="shared" ca="1" si="75"/>
        <v>0</v>
      </c>
      <c r="BF43" s="51">
        <f t="shared" ca="1" si="75"/>
        <v>0</v>
      </c>
      <c r="BG43" s="51">
        <f t="shared" ca="1" si="75"/>
        <v>0</v>
      </c>
      <c r="BH43" s="51">
        <f t="shared" ca="1" si="75"/>
        <v>0</v>
      </c>
      <c r="BI43" s="51">
        <f t="shared" ca="1" si="75"/>
        <v>0</v>
      </c>
      <c r="BJ43" s="51">
        <f t="shared" ca="1" si="75"/>
        <v>0</v>
      </c>
      <c r="BK43" s="51">
        <f t="shared" ca="1" si="75"/>
        <v>0</v>
      </c>
      <c r="BL43" s="51">
        <f t="shared" ca="1" si="75"/>
        <v>0</v>
      </c>
      <c r="BM43" s="51">
        <f t="shared" ref="BM43:BW43" ca="1" si="76">BM36*BM$17</f>
        <v>0</v>
      </c>
      <c r="BN43" s="51">
        <f t="shared" ca="1" si="76"/>
        <v>0</v>
      </c>
      <c r="BO43" s="51">
        <f t="shared" ca="1" si="76"/>
        <v>0</v>
      </c>
      <c r="BP43" s="51">
        <f t="shared" ca="1" si="76"/>
        <v>0</v>
      </c>
      <c r="BQ43" s="51">
        <f t="shared" ca="1" si="76"/>
        <v>0</v>
      </c>
      <c r="BR43" s="51">
        <f t="shared" ca="1" si="76"/>
        <v>0</v>
      </c>
      <c r="BS43" s="51">
        <f t="shared" ca="1" si="76"/>
        <v>0</v>
      </c>
      <c r="BT43" s="51">
        <f t="shared" ca="1" si="76"/>
        <v>0</v>
      </c>
      <c r="BU43" s="51">
        <f t="shared" ca="1" si="76"/>
        <v>0</v>
      </c>
      <c r="BV43" s="51">
        <f t="shared" ca="1" si="76"/>
        <v>0</v>
      </c>
      <c r="BW43" s="51">
        <f t="shared" ca="1" si="76"/>
        <v>0</v>
      </c>
    </row>
    <row r="44" spans="1:75" x14ac:dyDescent="0.3">
      <c r="A44" s="5" t="s">
        <v>68</v>
      </c>
      <c r="B44" s="5"/>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51">
        <f t="shared" ref="AH44:BL44" ca="1" si="77">AH37*AH$17</f>
        <v>7068.5769637461635</v>
      </c>
      <c r="AI44" s="51">
        <f t="shared" ca="1" si="77"/>
        <v>8987.3903840079893</v>
      </c>
      <c r="AJ44" s="51">
        <f t="shared" ca="1" si="77"/>
        <v>10660.925612243656</v>
      </c>
      <c r="AK44" s="51">
        <f t="shared" ca="1" si="77"/>
        <v>11006.392104931496</v>
      </c>
      <c r="AL44" s="51">
        <f t="shared" ca="1" si="77"/>
        <v>12359.592679242354</v>
      </c>
      <c r="AM44" s="51">
        <f t="shared" ca="1" si="77"/>
        <v>11867.941547139857</v>
      </c>
      <c r="AN44" s="51">
        <f t="shared" ca="1" si="77"/>
        <v>10163.098576223094</v>
      </c>
      <c r="AO44" s="51">
        <f t="shared" ca="1" si="77"/>
        <v>8941.2331876019434</v>
      </c>
      <c r="AP44" s="51">
        <f t="shared" ca="1" si="77"/>
        <v>7849.7769176568445</v>
      </c>
      <c r="AQ44" s="51">
        <f t="shared" ca="1" si="77"/>
        <v>6920.8912002985289</v>
      </c>
      <c r="AR44" s="51">
        <f t="shared" ca="1" si="77"/>
        <v>6053.106682998894</v>
      </c>
      <c r="AS44" s="51">
        <f t="shared" ca="1" si="77"/>
        <v>5342.9946531411351</v>
      </c>
      <c r="AT44" s="51">
        <f t="shared" ca="1" si="77"/>
        <v>4699.1017693304648</v>
      </c>
      <c r="AU44" s="51">
        <f t="shared" ca="1" si="77"/>
        <v>4235.5194682663232</v>
      </c>
      <c r="AV44" s="51">
        <f t="shared" ca="1" si="77"/>
        <v>3858.3594069560963</v>
      </c>
      <c r="AW44" s="51">
        <f t="shared" ca="1" si="77"/>
        <v>3488.9855499773025</v>
      </c>
      <c r="AX44" s="51">
        <f t="shared" ca="1" si="77"/>
        <v>3089.0314738895613</v>
      </c>
      <c r="AY44" s="51">
        <f t="shared" ca="1" si="77"/>
        <v>2732.299815514416</v>
      </c>
      <c r="AZ44" s="51">
        <f t="shared" ca="1" si="77"/>
        <v>2386.3808147995169</v>
      </c>
      <c r="BA44" s="51">
        <f t="shared" ca="1" si="77"/>
        <v>2121.6587226013867</v>
      </c>
      <c r="BB44" s="51">
        <f t="shared" ca="1" si="77"/>
        <v>1828.2289036098182</v>
      </c>
      <c r="BC44" s="51">
        <f t="shared" ca="1" si="77"/>
        <v>1673.6410820931287</v>
      </c>
      <c r="BD44" s="51">
        <f t="shared" ca="1" si="77"/>
        <v>1556.7671532011914</v>
      </c>
      <c r="BE44" s="51">
        <f t="shared" ca="1" si="77"/>
        <v>1457.0204056022574</v>
      </c>
      <c r="BF44" s="51">
        <f t="shared" ca="1" si="77"/>
        <v>1235.3749754698417</v>
      </c>
      <c r="BG44" s="51">
        <f t="shared" ca="1" si="77"/>
        <v>1125.1919481264795</v>
      </c>
      <c r="BH44" s="51">
        <f t="shared" ca="1" si="77"/>
        <v>1068.1946627993984</v>
      </c>
      <c r="BI44" s="51">
        <f t="shared" ca="1" si="77"/>
        <v>623.89264966475446</v>
      </c>
      <c r="BJ44" s="51">
        <f t="shared" ca="1" si="77"/>
        <v>0</v>
      </c>
      <c r="BK44" s="51">
        <f t="shared" ca="1" si="77"/>
        <v>0</v>
      </c>
      <c r="BL44" s="51">
        <f t="shared" ca="1" si="77"/>
        <v>0</v>
      </c>
      <c r="BM44" s="51">
        <f t="shared" ref="BM44:BW44" ca="1" si="78">BM37*BM$17</f>
        <v>0</v>
      </c>
      <c r="BN44" s="51">
        <f t="shared" ca="1" si="78"/>
        <v>0</v>
      </c>
      <c r="BO44" s="51">
        <f t="shared" ca="1" si="78"/>
        <v>0</v>
      </c>
      <c r="BP44" s="51">
        <f t="shared" ca="1" si="78"/>
        <v>0</v>
      </c>
      <c r="BQ44" s="51">
        <f t="shared" ca="1" si="78"/>
        <v>0</v>
      </c>
      <c r="BR44" s="51">
        <f t="shared" ca="1" si="78"/>
        <v>0</v>
      </c>
      <c r="BS44" s="51">
        <f t="shared" ca="1" si="78"/>
        <v>0</v>
      </c>
      <c r="BT44" s="51">
        <f t="shared" ca="1" si="78"/>
        <v>0</v>
      </c>
      <c r="BU44" s="51">
        <f t="shared" ca="1" si="78"/>
        <v>0</v>
      </c>
      <c r="BV44" s="51">
        <f t="shared" ca="1" si="78"/>
        <v>0</v>
      </c>
      <c r="BW44" s="51">
        <f t="shared" ca="1" si="78"/>
        <v>0</v>
      </c>
    </row>
    <row r="45" spans="1:75" s="5" customFormat="1" ht="13.8" x14ac:dyDescent="0.3"/>
    <row r="46" spans="1:75" s="204" customFormat="1" x14ac:dyDescent="0.3">
      <c r="A46" s="204" t="s">
        <v>1194</v>
      </c>
    </row>
    <row r="48" spans="1:7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row>
    <row r="49" spans="1:75" x14ac:dyDescent="0.3">
      <c r="A49" s="4" t="s">
        <v>0</v>
      </c>
      <c r="B49" s="4"/>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48">
        <f t="shared" ref="AG49:BL49" ca="1" si="79">SUM(AG50:AG53)</f>
        <v>12700</v>
      </c>
      <c r="AH49" s="48">
        <f t="shared" ca="1" si="79"/>
        <v>21942</v>
      </c>
      <c r="AI49" s="48">
        <f t="shared" ca="1" si="79"/>
        <v>24515</v>
      </c>
      <c r="AJ49" s="48">
        <f t="shared" ca="1" si="79"/>
        <v>28630</v>
      </c>
      <c r="AK49" s="48">
        <f t="shared" ca="1" si="79"/>
        <v>31459</v>
      </c>
      <c r="AL49" s="48">
        <f t="shared" ca="1" si="79"/>
        <v>35441</v>
      </c>
      <c r="AM49" s="48">
        <f t="shared" ca="1" si="79"/>
        <v>31241</v>
      </c>
      <c r="AN49" s="48">
        <f t="shared" ca="1" si="79"/>
        <v>23464</v>
      </c>
      <c r="AO49" s="48">
        <f t="shared" ca="1" si="79"/>
        <v>17553</v>
      </c>
      <c r="AP49" s="48">
        <f t="shared" ca="1" si="79"/>
        <v>13666</v>
      </c>
      <c r="AQ49" s="48">
        <f t="shared" ca="1" si="79"/>
        <v>10927</v>
      </c>
      <c r="AR49" s="48">
        <f t="shared" ca="1" si="79"/>
        <v>8540</v>
      </c>
      <c r="AS49" s="48">
        <f t="shared" ca="1" si="79"/>
        <v>6399</v>
      </c>
      <c r="AT49" s="48">
        <f t="shared" ca="1" si="79"/>
        <v>4804</v>
      </c>
      <c r="AU49" s="48">
        <f t="shared" ca="1" si="79"/>
        <v>3775</v>
      </c>
      <c r="AV49" s="48">
        <f t="shared" ca="1" si="79"/>
        <v>393</v>
      </c>
      <c r="AW49" s="48">
        <f t="shared" ca="1" si="79"/>
        <v>0</v>
      </c>
      <c r="AX49" s="48">
        <f t="shared" ca="1" si="79"/>
        <v>0</v>
      </c>
      <c r="AY49" s="48">
        <f t="shared" ca="1" si="79"/>
        <v>0</v>
      </c>
      <c r="AZ49" s="48">
        <f t="shared" ca="1" si="79"/>
        <v>0</v>
      </c>
      <c r="BA49" s="48">
        <f t="shared" ca="1" si="79"/>
        <v>0</v>
      </c>
      <c r="BB49" s="48">
        <f t="shared" ca="1" si="79"/>
        <v>0</v>
      </c>
      <c r="BC49" s="48">
        <f t="shared" ca="1" si="79"/>
        <v>0</v>
      </c>
      <c r="BD49" s="48">
        <f t="shared" ca="1" si="79"/>
        <v>0</v>
      </c>
      <c r="BE49" s="48">
        <f t="shared" ca="1" si="79"/>
        <v>0</v>
      </c>
      <c r="BF49" s="48">
        <f t="shared" ca="1" si="79"/>
        <v>0</v>
      </c>
      <c r="BG49" s="48">
        <f t="shared" ca="1" si="79"/>
        <v>0</v>
      </c>
      <c r="BH49" s="48">
        <f t="shared" ca="1" si="79"/>
        <v>0</v>
      </c>
      <c r="BI49" s="48">
        <f t="shared" ca="1" si="79"/>
        <v>0</v>
      </c>
      <c r="BJ49" s="48">
        <f t="shared" ca="1" si="79"/>
        <v>0</v>
      </c>
      <c r="BK49" s="48">
        <f t="shared" ca="1" si="79"/>
        <v>0</v>
      </c>
      <c r="BL49" s="48">
        <f t="shared" ca="1" si="79"/>
        <v>0</v>
      </c>
      <c r="BM49" s="48">
        <f t="shared" ref="BM49:BW49" ca="1" si="80">SUM(BM50:BM53)</f>
        <v>0</v>
      </c>
      <c r="BN49" s="48">
        <f t="shared" ca="1" si="80"/>
        <v>0</v>
      </c>
      <c r="BO49" s="48">
        <f t="shared" ca="1" si="80"/>
        <v>0</v>
      </c>
      <c r="BP49" s="48">
        <f t="shared" ca="1" si="80"/>
        <v>0</v>
      </c>
      <c r="BQ49" s="48">
        <f t="shared" ca="1" si="80"/>
        <v>0</v>
      </c>
      <c r="BR49" s="48">
        <f t="shared" ca="1" si="80"/>
        <v>0</v>
      </c>
      <c r="BS49" s="48">
        <f t="shared" ca="1" si="80"/>
        <v>0</v>
      </c>
      <c r="BT49" s="48">
        <f t="shared" ca="1" si="80"/>
        <v>0</v>
      </c>
      <c r="BU49" s="48">
        <f t="shared" ca="1" si="80"/>
        <v>0</v>
      </c>
      <c r="BV49" s="48">
        <f t="shared" ca="1" si="80"/>
        <v>0</v>
      </c>
      <c r="BW49" s="48">
        <f t="shared" ca="1" si="80"/>
        <v>0</v>
      </c>
    </row>
    <row r="50" spans="1:75" x14ac:dyDescent="0.3">
      <c r="A50" s="5" t="s">
        <v>66</v>
      </c>
      <c r="B50" s="5"/>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99">
        <f ca="1">SUMIFS(INDIRECT("'"&amp;$A50&amp;$B$3&amp;"'!"&amp;"$i:$i"),INDIRECT("'"&amp;$A50&amp;$B$3&amp;"'!"&amp;"$A:$A"),'Receita Líquida - O&amp;G'!AG$1)</f>
        <v>9805</v>
      </c>
      <c r="AH50" s="199">
        <f ca="1">SUMIFS(INDIRECT("'"&amp;$A50&amp;$B$3&amp;"'!"&amp;"$i:$i"),INDIRECT("'"&amp;$A50&amp;$B$3&amp;"'!"&amp;"$A:$A"),'Receita Líquida - O&amp;G'!AH$1)</f>
        <v>15113</v>
      </c>
      <c r="AI50" s="199">
        <f ca="1">SUMIFS(INDIRECT("'"&amp;$A50&amp;$B$3&amp;"'!"&amp;"$i:$i"),INDIRECT("'"&amp;$A50&amp;$B$3&amp;"'!"&amp;"$A:$A"),'Receita Líquida - O&amp;G'!AI$1)</f>
        <v>14433</v>
      </c>
      <c r="AJ50" s="199">
        <f ca="1">SUMIFS(INDIRECT("'"&amp;$A50&amp;$B$3&amp;"'!"&amp;"$i:$i"),INDIRECT("'"&amp;$A50&amp;$B$3&amp;"'!"&amp;"$A:$A"),'Receita Líquida - O&amp;G'!AJ$1)</f>
        <v>15765</v>
      </c>
      <c r="AK50" s="199">
        <f ca="1">SUMIFS(INDIRECT("'"&amp;$A50&amp;$B$3&amp;"'!"&amp;"$i:$i"),INDIRECT("'"&amp;$A50&amp;$B$3&amp;"'!"&amp;"$A:$A"),'Receita Líquida - O&amp;G'!AK$1)</f>
        <v>18183</v>
      </c>
      <c r="AL50" s="199">
        <f ca="1">SUMIFS(INDIRECT("'"&amp;$A50&amp;$B$3&amp;"'!"&amp;"$i:$i"),INDIRECT("'"&amp;$A50&amp;$B$3&amp;"'!"&amp;"$A:$A"),'Receita Líquida - O&amp;G'!AL$1)</f>
        <v>21084</v>
      </c>
      <c r="AM50" s="199">
        <f ca="1">SUMIFS(INDIRECT("'"&amp;$A50&amp;$B$3&amp;"'!"&amp;"$i:$i"),INDIRECT("'"&amp;$A50&amp;$B$3&amp;"'!"&amp;"$A:$A"),'Receita Líquida - O&amp;G'!AM$1)</f>
        <v>17990</v>
      </c>
      <c r="AN50" s="199">
        <f ca="1">SUMIFS(INDIRECT("'"&amp;$A50&amp;$B$3&amp;"'!"&amp;"$i:$i"),INDIRECT("'"&amp;$A50&amp;$B$3&amp;"'!"&amp;"$A:$A"),'Receita Líquida - O&amp;G'!AN$1)</f>
        <v>12810</v>
      </c>
      <c r="AO50" s="199">
        <f ca="1">SUMIFS(INDIRECT("'"&amp;$A50&amp;$B$3&amp;"'!"&amp;"$i:$i"),INDIRECT("'"&amp;$A50&amp;$B$3&amp;"'!"&amp;"$A:$A"),'Receita Líquida - O&amp;G'!AO$1)</f>
        <v>9021</v>
      </c>
      <c r="AP50" s="199">
        <f ca="1">SUMIFS(INDIRECT("'"&amp;$A50&amp;$B$3&amp;"'!"&amp;"$i:$i"),INDIRECT("'"&amp;$A50&amp;$B$3&amp;"'!"&amp;"$A:$A"),'Receita Líquida - O&amp;G'!AP$1)</f>
        <v>6973</v>
      </c>
      <c r="AQ50" s="199">
        <f ca="1">SUMIFS(INDIRECT("'"&amp;$A50&amp;$B$3&amp;"'!"&amp;"$i:$i"),INDIRECT("'"&amp;$A50&amp;$B$3&amp;"'!"&amp;"$A:$A"),'Receita Líquida - O&amp;G'!AQ$1)</f>
        <v>5765</v>
      </c>
      <c r="AR50" s="199">
        <f ca="1">SUMIFS(INDIRECT("'"&amp;$A50&amp;$B$3&amp;"'!"&amp;"$i:$i"),INDIRECT("'"&amp;$A50&amp;$B$3&amp;"'!"&amp;"$A:$A"),'Receita Líquida - O&amp;G'!AR$1)</f>
        <v>4771</v>
      </c>
      <c r="AS50" s="199">
        <f ca="1">SUMIFS(INDIRECT("'"&amp;$A50&amp;$B$3&amp;"'!"&amp;"$i:$i"),INDIRECT("'"&amp;$A50&amp;$B$3&amp;"'!"&amp;"$A:$A"),'Receita Líquida - O&amp;G'!AS$1)</f>
        <v>3743</v>
      </c>
      <c r="AT50" s="199">
        <f ca="1">SUMIFS(INDIRECT("'"&amp;$A50&amp;$B$3&amp;"'!"&amp;"$i:$i"),INDIRECT("'"&amp;$A50&amp;$B$3&amp;"'!"&amp;"$A:$A"),'Receita Líquida - O&amp;G'!AT$1)</f>
        <v>3128</v>
      </c>
      <c r="AU50" s="199">
        <f ca="1">SUMIFS(INDIRECT("'"&amp;$A50&amp;$B$3&amp;"'!"&amp;"$i:$i"),INDIRECT("'"&amp;$A50&amp;$B$3&amp;"'!"&amp;"$A:$A"),'Receita Líquida - O&amp;G'!AU$1)</f>
        <v>2808</v>
      </c>
      <c r="AV50" s="199">
        <f ca="1">SUMIFS(INDIRECT("'"&amp;$A50&amp;$B$3&amp;"'!"&amp;"$i:$i"),INDIRECT("'"&amp;$A50&amp;$B$3&amp;"'!"&amp;"$A:$A"),'Receita Líquida - O&amp;G'!AV$1)</f>
        <v>0</v>
      </c>
      <c r="AW50" s="199">
        <f ca="1">SUMIFS(INDIRECT("'"&amp;$A50&amp;$B$3&amp;"'!"&amp;"$i:$i"),INDIRECT("'"&amp;$A50&amp;$B$3&amp;"'!"&amp;"$A:$A"),'Receita Líquida - O&amp;G'!AW$1)</f>
        <v>0</v>
      </c>
      <c r="AX50" s="199">
        <f ca="1">SUMIFS(INDIRECT("'"&amp;$A50&amp;$B$3&amp;"'!"&amp;"$i:$i"),INDIRECT("'"&amp;$A50&amp;$B$3&amp;"'!"&amp;"$A:$A"),'Receita Líquida - O&amp;G'!AX$1)</f>
        <v>0</v>
      </c>
      <c r="AY50" s="199">
        <f ca="1">SUMIFS(INDIRECT("'"&amp;$A50&amp;$B$3&amp;"'!"&amp;"$i:$i"),INDIRECT("'"&amp;$A50&amp;$B$3&amp;"'!"&amp;"$A:$A"),'Receita Líquida - O&amp;G'!AY$1)</f>
        <v>0</v>
      </c>
      <c r="AZ50" s="199">
        <f ca="1">SUMIFS(INDIRECT("'"&amp;$A50&amp;$B$3&amp;"'!"&amp;"$i:$i"),INDIRECT("'"&amp;$A50&amp;$B$3&amp;"'!"&amp;"$A:$A"),'Receita Líquida - O&amp;G'!AZ$1)</f>
        <v>0</v>
      </c>
      <c r="BA50" s="199">
        <f ca="1">SUMIFS(INDIRECT("'"&amp;$A50&amp;$B$3&amp;"'!"&amp;"$i:$i"),INDIRECT("'"&amp;$A50&amp;$B$3&amp;"'!"&amp;"$A:$A"),'Receita Líquida - O&amp;G'!BA$1)</f>
        <v>0</v>
      </c>
      <c r="BB50" s="199">
        <f ca="1">SUMIFS(INDIRECT("'"&amp;$A50&amp;$B$3&amp;"'!"&amp;"$i:$i"),INDIRECT("'"&amp;$A50&amp;$B$3&amp;"'!"&amp;"$A:$A"),'Receita Líquida - O&amp;G'!BB$1)</f>
        <v>0</v>
      </c>
      <c r="BC50" s="199">
        <f ca="1">SUMIFS(INDIRECT("'"&amp;$A50&amp;$B$3&amp;"'!"&amp;"$i:$i"),INDIRECT("'"&amp;$A50&amp;$B$3&amp;"'!"&amp;"$A:$A"),'Receita Líquida - O&amp;G'!BC$1)</f>
        <v>0</v>
      </c>
      <c r="BD50" s="199">
        <f ca="1">SUMIFS(INDIRECT("'"&amp;$A50&amp;$B$3&amp;"'!"&amp;"$i:$i"),INDIRECT("'"&amp;$A50&amp;$B$3&amp;"'!"&amp;"$A:$A"),'Receita Líquida - O&amp;G'!BD$1)</f>
        <v>0</v>
      </c>
      <c r="BE50" s="199">
        <f ca="1">SUMIFS(INDIRECT("'"&amp;$A50&amp;$B$3&amp;"'!"&amp;"$i:$i"),INDIRECT("'"&amp;$A50&amp;$B$3&amp;"'!"&amp;"$A:$A"),'Receita Líquida - O&amp;G'!BE$1)</f>
        <v>0</v>
      </c>
      <c r="BF50" s="199">
        <f ca="1">SUMIFS(INDIRECT("'"&amp;$A50&amp;$B$3&amp;"'!"&amp;"$i:$i"),INDIRECT("'"&amp;$A50&amp;$B$3&amp;"'!"&amp;"$A:$A"),'Receita Líquida - O&amp;G'!BF$1)</f>
        <v>0</v>
      </c>
      <c r="BG50" s="199">
        <f ca="1">SUMIFS(INDIRECT("'"&amp;$A50&amp;$B$3&amp;"'!"&amp;"$i:$i"),INDIRECT("'"&amp;$A50&amp;$B$3&amp;"'!"&amp;"$A:$A"),'Receita Líquida - O&amp;G'!BG$1)</f>
        <v>0</v>
      </c>
      <c r="BH50" s="199">
        <f ca="1">SUMIFS(INDIRECT("'"&amp;$A50&amp;$B$3&amp;"'!"&amp;"$i:$i"),INDIRECT("'"&amp;$A50&amp;$B$3&amp;"'!"&amp;"$A:$A"),'Receita Líquida - O&amp;G'!BH$1)</f>
        <v>0</v>
      </c>
      <c r="BI50" s="199">
        <f ca="1">SUMIFS(INDIRECT("'"&amp;$A50&amp;$B$3&amp;"'!"&amp;"$i:$i"),INDIRECT("'"&amp;$A50&amp;$B$3&amp;"'!"&amp;"$A:$A"),'Receita Líquida - O&amp;G'!BI$1)</f>
        <v>0</v>
      </c>
      <c r="BJ50" s="199">
        <f ca="1">SUMIFS(INDIRECT("'"&amp;$A50&amp;$B$3&amp;"'!"&amp;"$i:$i"),INDIRECT("'"&amp;$A50&amp;$B$3&amp;"'!"&amp;"$A:$A"),'Receita Líquida - O&amp;G'!BJ$1)</f>
        <v>0</v>
      </c>
      <c r="BK50" s="199">
        <f ca="1">SUMIFS(INDIRECT("'"&amp;$A50&amp;$B$3&amp;"'!"&amp;"$i:$i"),INDIRECT("'"&amp;$A50&amp;$B$3&amp;"'!"&amp;"$A:$A"),'Receita Líquida - O&amp;G'!BK$1)</f>
        <v>0</v>
      </c>
      <c r="BL50" s="199">
        <f ca="1">SUMIFS(INDIRECT("'"&amp;$A50&amp;$B$3&amp;"'!"&amp;"$i:$i"),INDIRECT("'"&amp;$A50&amp;$B$3&amp;"'!"&amp;"$A:$A"),'Receita Líquida - O&amp;G'!BL$1)</f>
        <v>0</v>
      </c>
      <c r="BM50" s="199">
        <f ca="1">SUMIFS(INDIRECT("'"&amp;$A50&amp;$B$3&amp;"'!"&amp;"$i:$i"),INDIRECT("'"&amp;$A50&amp;$B$3&amp;"'!"&amp;"$A:$A"),'Receita Líquida - O&amp;G'!BM$1)</f>
        <v>0</v>
      </c>
      <c r="BN50" s="199">
        <f ca="1">SUMIFS(INDIRECT("'"&amp;$A50&amp;$B$3&amp;"'!"&amp;"$i:$i"),INDIRECT("'"&amp;$A50&amp;$B$3&amp;"'!"&amp;"$A:$A"),'Receita Líquida - O&amp;G'!BN$1)</f>
        <v>0</v>
      </c>
      <c r="BO50" s="199">
        <f ca="1">SUMIFS(INDIRECT("'"&amp;$A50&amp;$B$3&amp;"'!"&amp;"$i:$i"),INDIRECT("'"&amp;$A50&amp;$B$3&amp;"'!"&amp;"$A:$A"),'Receita Líquida - O&amp;G'!BO$1)</f>
        <v>0</v>
      </c>
      <c r="BP50" s="199">
        <f ca="1">SUMIFS(INDIRECT("'"&amp;$A50&amp;$B$3&amp;"'!"&amp;"$i:$i"),INDIRECT("'"&amp;$A50&amp;$B$3&amp;"'!"&amp;"$A:$A"),'Receita Líquida - O&amp;G'!BP$1)</f>
        <v>0</v>
      </c>
      <c r="BQ50" s="199">
        <f ca="1">SUMIFS(INDIRECT("'"&amp;$A50&amp;$B$3&amp;"'!"&amp;"$i:$i"),INDIRECT("'"&amp;$A50&amp;$B$3&amp;"'!"&amp;"$A:$A"),'Receita Líquida - O&amp;G'!BQ$1)</f>
        <v>0</v>
      </c>
      <c r="BR50" s="199">
        <f ca="1">SUMIFS(INDIRECT("'"&amp;$A50&amp;$B$3&amp;"'!"&amp;"$i:$i"),INDIRECT("'"&amp;$A50&amp;$B$3&amp;"'!"&amp;"$A:$A"),'Receita Líquida - O&amp;G'!BR$1)</f>
        <v>0</v>
      </c>
      <c r="BS50" s="199">
        <f ca="1">SUMIFS(INDIRECT("'"&amp;$A50&amp;$B$3&amp;"'!"&amp;"$i:$i"),INDIRECT("'"&amp;$A50&amp;$B$3&amp;"'!"&amp;"$A:$A"),'Receita Líquida - O&amp;G'!BS$1)</f>
        <v>0</v>
      </c>
      <c r="BT50" s="199">
        <f ca="1">SUMIFS(INDIRECT("'"&amp;$A50&amp;$B$3&amp;"'!"&amp;"$i:$i"),INDIRECT("'"&amp;$A50&amp;$B$3&amp;"'!"&amp;"$A:$A"),'Receita Líquida - O&amp;G'!BT$1)</f>
        <v>0</v>
      </c>
      <c r="BU50" s="199">
        <f ca="1">SUMIFS(INDIRECT("'"&amp;$A50&amp;$B$3&amp;"'!"&amp;"$i:$i"),INDIRECT("'"&amp;$A50&amp;$B$3&amp;"'!"&amp;"$A:$A"),'Receita Líquida - O&amp;G'!BU$1)</f>
        <v>0</v>
      </c>
      <c r="BV50" s="199">
        <f ca="1">SUMIFS(INDIRECT("'"&amp;$A50&amp;$B$3&amp;"'!"&amp;"$i:$i"),INDIRECT("'"&amp;$A50&amp;$B$3&amp;"'!"&amp;"$A:$A"),'Receita Líquida - O&amp;G'!BV$1)</f>
        <v>0</v>
      </c>
      <c r="BW50" s="199">
        <f ca="1">SUMIFS(INDIRECT("'"&amp;$A50&amp;$B$3&amp;"'!"&amp;"$i:$i"),INDIRECT("'"&amp;$A50&amp;$B$3&amp;"'!"&amp;"$A:$A"),'Receita Líquida - O&amp;G'!BW$1)</f>
        <v>0</v>
      </c>
    </row>
    <row r="51" spans="1:75" x14ac:dyDescent="0.3">
      <c r="A51" s="5" t="s">
        <v>67</v>
      </c>
      <c r="B51" s="5"/>
      <c r="C51" s="72"/>
      <c r="D51" s="72"/>
      <c r="E51" s="72"/>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c r="AE51" s="117"/>
      <c r="AF51" s="72"/>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0"/>
      <c r="BE51" s="200"/>
      <c r="BF51" s="200"/>
      <c r="BG51" s="200"/>
      <c r="BH51" s="200"/>
      <c r="BI51" s="200"/>
      <c r="BJ51" s="200"/>
      <c r="BK51" s="200"/>
      <c r="BL51" s="200"/>
      <c r="BM51" s="200"/>
      <c r="BN51" s="200"/>
      <c r="BO51" s="200"/>
      <c r="BP51" s="200"/>
      <c r="BQ51" s="200"/>
      <c r="BR51" s="200"/>
      <c r="BS51" s="200"/>
      <c r="BT51" s="200"/>
      <c r="BU51" s="200"/>
      <c r="BV51" s="200"/>
      <c r="BW51" s="200"/>
    </row>
    <row r="52" spans="1:75" x14ac:dyDescent="0.3">
      <c r="A52" s="5" t="s">
        <v>69</v>
      </c>
      <c r="B52" s="5"/>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199">
        <f ca="1">SUMIFS(INDIRECT("'"&amp;$A52&amp;$B$3&amp;"'!"&amp;"$i:$i"),INDIRECT("'"&amp;$A52&amp;$B$3&amp;"'!"&amp;"$A:$A"),'Receita Líquida - O&amp;G'!AG$1)</f>
        <v>0</v>
      </c>
      <c r="AH52" s="199">
        <f ca="1">SUMIFS(INDIRECT("'"&amp;$A52&amp;$B$3&amp;"'!"&amp;"$i:$i"),INDIRECT("'"&amp;$A52&amp;$B$3&amp;"'!"&amp;"$A:$A"),'Receita Líquida - O&amp;G'!AH$1)</f>
        <v>0</v>
      </c>
      <c r="AI52" s="199">
        <f ca="1">SUMIFS(INDIRECT("'"&amp;$A52&amp;$B$3&amp;"'!"&amp;"$i:$i"),INDIRECT("'"&amp;$A52&amp;$B$3&amp;"'!"&amp;"$A:$A"),'Receita Líquida - O&amp;G'!AI$1)</f>
        <v>0</v>
      </c>
      <c r="AJ52" s="199">
        <f ca="1">SUMIFS(INDIRECT("'"&amp;$A52&amp;$B$3&amp;"'!"&amp;"$i:$i"),INDIRECT("'"&amp;$A52&amp;$B$3&amp;"'!"&amp;"$A:$A"),'Receita Líquida - O&amp;G'!AJ$1)</f>
        <v>0</v>
      </c>
      <c r="AK52" s="199">
        <f ca="1">SUMIFS(INDIRECT("'"&amp;$A52&amp;$B$3&amp;"'!"&amp;"$i:$i"),INDIRECT("'"&amp;$A52&amp;$B$3&amp;"'!"&amp;"$A:$A"),'Receita Líquida - O&amp;G'!AK$1)</f>
        <v>0</v>
      </c>
      <c r="AL52" s="199">
        <f ca="1">SUMIFS(INDIRECT("'"&amp;$A52&amp;$B$3&amp;"'!"&amp;"$i:$i"),INDIRECT("'"&amp;$A52&amp;$B$3&amp;"'!"&amp;"$A:$A"),'Receita Líquida - O&amp;G'!AL$1)</f>
        <v>0</v>
      </c>
      <c r="AM52" s="199">
        <f ca="1">SUMIFS(INDIRECT("'"&amp;$A52&amp;$B$3&amp;"'!"&amp;"$i:$i"),INDIRECT("'"&amp;$A52&amp;$B$3&amp;"'!"&amp;"$A:$A"),'Receita Líquida - O&amp;G'!AM$1)</f>
        <v>0</v>
      </c>
      <c r="AN52" s="199">
        <f ca="1">SUMIFS(INDIRECT("'"&amp;$A52&amp;$B$3&amp;"'!"&amp;"$i:$i"),INDIRECT("'"&amp;$A52&amp;$B$3&amp;"'!"&amp;"$A:$A"),'Receita Líquida - O&amp;G'!AN$1)</f>
        <v>0</v>
      </c>
      <c r="AO52" s="199">
        <f ca="1">SUMIFS(INDIRECT("'"&amp;$A52&amp;$B$3&amp;"'!"&amp;"$i:$i"),INDIRECT("'"&amp;$A52&amp;$B$3&amp;"'!"&amp;"$A:$A"),'Receita Líquida - O&amp;G'!AO$1)</f>
        <v>0</v>
      </c>
      <c r="AP52" s="199">
        <f ca="1">SUMIFS(INDIRECT("'"&amp;$A52&amp;$B$3&amp;"'!"&amp;"$i:$i"),INDIRECT("'"&amp;$A52&amp;$B$3&amp;"'!"&amp;"$A:$A"),'Receita Líquida - O&amp;G'!AP$1)</f>
        <v>0</v>
      </c>
      <c r="AQ52" s="199">
        <f ca="1">SUMIFS(INDIRECT("'"&amp;$A52&amp;$B$3&amp;"'!"&amp;"$i:$i"),INDIRECT("'"&amp;$A52&amp;$B$3&amp;"'!"&amp;"$A:$A"),'Receita Líquida - O&amp;G'!AQ$1)</f>
        <v>0</v>
      </c>
      <c r="AR52" s="199">
        <f ca="1">SUMIFS(INDIRECT("'"&amp;$A52&amp;$B$3&amp;"'!"&amp;"$i:$i"),INDIRECT("'"&amp;$A52&amp;$B$3&amp;"'!"&amp;"$A:$A"),'Receita Líquida - O&amp;G'!AR$1)</f>
        <v>0</v>
      </c>
      <c r="AS52" s="199">
        <f ca="1">SUMIFS(INDIRECT("'"&amp;$A52&amp;$B$3&amp;"'!"&amp;"$i:$i"),INDIRECT("'"&amp;$A52&amp;$B$3&amp;"'!"&amp;"$A:$A"),'Receita Líquida - O&amp;G'!AS$1)</f>
        <v>0</v>
      </c>
      <c r="AT52" s="199">
        <f ca="1">SUMIFS(INDIRECT("'"&amp;$A52&amp;$B$3&amp;"'!"&amp;"$i:$i"),INDIRECT("'"&amp;$A52&amp;$B$3&amp;"'!"&amp;"$A:$A"),'Receita Líquida - O&amp;G'!AT$1)</f>
        <v>0</v>
      </c>
      <c r="AU52" s="199">
        <f ca="1">SUMIFS(INDIRECT("'"&amp;$A52&amp;$B$3&amp;"'!"&amp;"$i:$i"),INDIRECT("'"&amp;$A52&amp;$B$3&amp;"'!"&amp;"$A:$A"),'Receita Líquida - O&amp;G'!AU$1)</f>
        <v>0</v>
      </c>
      <c r="AV52" s="199">
        <f ca="1">SUMIFS(INDIRECT("'"&amp;$A52&amp;$B$3&amp;"'!"&amp;"$i:$i"),INDIRECT("'"&amp;$A52&amp;$B$3&amp;"'!"&amp;"$A:$A"),'Receita Líquida - O&amp;G'!AV$1)</f>
        <v>0</v>
      </c>
      <c r="AW52" s="199">
        <f ca="1">SUMIFS(INDIRECT("'"&amp;$A52&amp;$B$3&amp;"'!"&amp;"$i:$i"),INDIRECT("'"&amp;$A52&amp;$B$3&amp;"'!"&amp;"$A:$A"),'Receita Líquida - O&amp;G'!AW$1)</f>
        <v>0</v>
      </c>
      <c r="AX52" s="199">
        <f ca="1">SUMIFS(INDIRECT("'"&amp;$A52&amp;$B$3&amp;"'!"&amp;"$i:$i"),INDIRECT("'"&amp;$A52&amp;$B$3&amp;"'!"&amp;"$A:$A"),'Receita Líquida - O&amp;G'!AX$1)</f>
        <v>0</v>
      </c>
      <c r="AY52" s="199">
        <f ca="1">SUMIFS(INDIRECT("'"&amp;$A52&amp;$B$3&amp;"'!"&amp;"$i:$i"),INDIRECT("'"&amp;$A52&amp;$B$3&amp;"'!"&amp;"$A:$A"),'Receita Líquida - O&amp;G'!AY$1)</f>
        <v>0</v>
      </c>
      <c r="AZ52" s="199">
        <f ca="1">SUMIFS(INDIRECT("'"&amp;$A52&amp;$B$3&amp;"'!"&amp;"$i:$i"),INDIRECT("'"&amp;$A52&amp;$B$3&amp;"'!"&amp;"$A:$A"),'Receita Líquida - O&amp;G'!AZ$1)</f>
        <v>0</v>
      </c>
      <c r="BA52" s="199">
        <f ca="1">SUMIFS(INDIRECT("'"&amp;$A52&amp;$B$3&amp;"'!"&amp;"$i:$i"),INDIRECT("'"&amp;$A52&amp;$B$3&amp;"'!"&amp;"$A:$A"),'Receita Líquida - O&amp;G'!BA$1)</f>
        <v>0</v>
      </c>
      <c r="BB52" s="199">
        <f ca="1">SUMIFS(INDIRECT("'"&amp;$A52&amp;$B$3&amp;"'!"&amp;"$i:$i"),INDIRECT("'"&amp;$A52&amp;$B$3&amp;"'!"&amp;"$A:$A"),'Receita Líquida - O&amp;G'!BB$1)</f>
        <v>0</v>
      </c>
      <c r="BC52" s="199">
        <f ca="1">SUMIFS(INDIRECT("'"&amp;$A52&amp;$B$3&amp;"'!"&amp;"$i:$i"),INDIRECT("'"&amp;$A52&amp;$B$3&amp;"'!"&amp;"$A:$A"),'Receita Líquida - O&amp;G'!BC$1)</f>
        <v>0</v>
      </c>
      <c r="BD52" s="199">
        <f ca="1">SUMIFS(INDIRECT("'"&amp;$A52&amp;$B$3&amp;"'!"&amp;"$i:$i"),INDIRECT("'"&amp;$A52&amp;$B$3&amp;"'!"&amp;"$A:$A"),'Receita Líquida - O&amp;G'!BD$1)</f>
        <v>0</v>
      </c>
      <c r="BE52" s="199">
        <f ca="1">SUMIFS(INDIRECT("'"&amp;$A52&amp;$B$3&amp;"'!"&amp;"$i:$i"),INDIRECT("'"&amp;$A52&amp;$B$3&amp;"'!"&amp;"$A:$A"),'Receita Líquida - O&amp;G'!BE$1)</f>
        <v>0</v>
      </c>
      <c r="BF52" s="199">
        <f ca="1">SUMIFS(INDIRECT("'"&amp;$A52&amp;$B$3&amp;"'!"&amp;"$i:$i"),INDIRECT("'"&amp;$A52&amp;$B$3&amp;"'!"&amp;"$A:$A"),'Receita Líquida - O&amp;G'!BF$1)</f>
        <v>0</v>
      </c>
      <c r="BG52" s="199">
        <f ca="1">SUMIFS(INDIRECT("'"&amp;$A52&amp;$B$3&amp;"'!"&amp;"$i:$i"),INDIRECT("'"&amp;$A52&amp;$B$3&amp;"'!"&amp;"$A:$A"),'Receita Líquida - O&amp;G'!BG$1)</f>
        <v>0</v>
      </c>
      <c r="BH52" s="199">
        <f ca="1">SUMIFS(INDIRECT("'"&amp;$A52&amp;$B$3&amp;"'!"&amp;"$i:$i"),INDIRECT("'"&amp;$A52&amp;$B$3&amp;"'!"&amp;"$A:$A"),'Receita Líquida - O&amp;G'!BH$1)</f>
        <v>0</v>
      </c>
      <c r="BI52" s="199">
        <f ca="1">SUMIFS(INDIRECT("'"&amp;$A52&amp;$B$3&amp;"'!"&amp;"$i:$i"),INDIRECT("'"&amp;$A52&amp;$B$3&amp;"'!"&amp;"$A:$A"),'Receita Líquida - O&amp;G'!BI$1)</f>
        <v>0</v>
      </c>
      <c r="BJ52" s="199">
        <f ca="1">SUMIFS(INDIRECT("'"&amp;$A52&amp;$B$3&amp;"'!"&amp;"$i:$i"),INDIRECT("'"&amp;$A52&amp;$B$3&amp;"'!"&amp;"$A:$A"),'Receita Líquida - O&amp;G'!BJ$1)</f>
        <v>0</v>
      </c>
      <c r="BK52" s="199">
        <f ca="1">SUMIFS(INDIRECT("'"&amp;$A52&amp;$B$3&amp;"'!"&amp;"$i:$i"),INDIRECT("'"&amp;$A52&amp;$B$3&amp;"'!"&amp;"$A:$A"),'Receita Líquida - O&amp;G'!BK$1)</f>
        <v>0</v>
      </c>
      <c r="BL52" s="199">
        <f ca="1">SUMIFS(INDIRECT("'"&amp;$A52&amp;$B$3&amp;"'!"&amp;"$i:$i"),INDIRECT("'"&amp;$A52&amp;$B$3&amp;"'!"&amp;"$A:$A"),'Receita Líquida - O&amp;G'!BL$1)</f>
        <v>0</v>
      </c>
      <c r="BM52" s="199">
        <f ca="1">SUMIFS(INDIRECT("'"&amp;$A52&amp;$B$3&amp;"'!"&amp;"$i:$i"),INDIRECT("'"&amp;$A52&amp;$B$3&amp;"'!"&amp;"$A:$A"),'Receita Líquida - O&amp;G'!BM$1)</f>
        <v>0</v>
      </c>
      <c r="BN52" s="199">
        <f ca="1">SUMIFS(INDIRECT("'"&amp;$A52&amp;$B$3&amp;"'!"&amp;"$i:$i"),INDIRECT("'"&amp;$A52&amp;$B$3&amp;"'!"&amp;"$A:$A"),'Receita Líquida - O&amp;G'!BN$1)</f>
        <v>0</v>
      </c>
      <c r="BO52" s="199">
        <f ca="1">SUMIFS(INDIRECT("'"&amp;$A52&amp;$B$3&amp;"'!"&amp;"$i:$i"),INDIRECT("'"&amp;$A52&amp;$B$3&amp;"'!"&amp;"$A:$A"),'Receita Líquida - O&amp;G'!BO$1)</f>
        <v>0</v>
      </c>
      <c r="BP52" s="199">
        <f ca="1">SUMIFS(INDIRECT("'"&amp;$A52&amp;$B$3&amp;"'!"&amp;"$i:$i"),INDIRECT("'"&amp;$A52&amp;$B$3&amp;"'!"&amp;"$A:$A"),'Receita Líquida - O&amp;G'!BP$1)</f>
        <v>0</v>
      </c>
      <c r="BQ52" s="199">
        <f ca="1">SUMIFS(INDIRECT("'"&amp;$A52&amp;$B$3&amp;"'!"&amp;"$i:$i"),INDIRECT("'"&amp;$A52&amp;$B$3&amp;"'!"&amp;"$A:$A"),'Receita Líquida - O&amp;G'!BQ$1)</f>
        <v>0</v>
      </c>
      <c r="BR52" s="199">
        <f ca="1">SUMIFS(INDIRECT("'"&amp;$A52&amp;$B$3&amp;"'!"&amp;"$i:$i"),INDIRECT("'"&amp;$A52&amp;$B$3&amp;"'!"&amp;"$A:$A"),'Receita Líquida - O&amp;G'!BR$1)</f>
        <v>0</v>
      </c>
      <c r="BS52" s="199">
        <f ca="1">SUMIFS(INDIRECT("'"&amp;$A52&amp;$B$3&amp;"'!"&amp;"$i:$i"),INDIRECT("'"&amp;$A52&amp;$B$3&amp;"'!"&amp;"$A:$A"),'Receita Líquida - O&amp;G'!BS$1)</f>
        <v>0</v>
      </c>
      <c r="BT52" s="199">
        <f ca="1">SUMIFS(INDIRECT("'"&amp;$A52&amp;$B$3&amp;"'!"&amp;"$i:$i"),INDIRECT("'"&amp;$A52&amp;$B$3&amp;"'!"&amp;"$A:$A"),'Receita Líquida - O&amp;G'!BT$1)</f>
        <v>0</v>
      </c>
      <c r="BU52" s="199">
        <f ca="1">SUMIFS(INDIRECT("'"&amp;$A52&amp;$B$3&amp;"'!"&amp;"$i:$i"),INDIRECT("'"&amp;$A52&amp;$B$3&amp;"'!"&amp;"$A:$A"),'Receita Líquida - O&amp;G'!BU$1)</f>
        <v>0</v>
      </c>
      <c r="BV52" s="199">
        <f ca="1">SUMIFS(INDIRECT("'"&amp;$A52&amp;$B$3&amp;"'!"&amp;"$i:$i"),INDIRECT("'"&amp;$A52&amp;$B$3&amp;"'!"&amp;"$A:$A"),'Receita Líquida - O&amp;G'!BV$1)</f>
        <v>0</v>
      </c>
      <c r="BW52" s="199">
        <f ca="1">SUMIFS(INDIRECT("'"&amp;$A52&amp;$B$3&amp;"'!"&amp;"$i:$i"),INDIRECT("'"&amp;$A52&amp;$B$3&amp;"'!"&amp;"$A:$A"),'Receita Líquida - O&amp;G'!BW$1)</f>
        <v>0</v>
      </c>
    </row>
    <row r="53" spans="1:75" x14ac:dyDescent="0.3">
      <c r="A53" s="5" t="s">
        <v>68</v>
      </c>
      <c r="B53" s="5"/>
      <c r="C53" s="72"/>
      <c r="D53" s="72"/>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c r="AE53" s="72"/>
      <c r="AF53" s="72"/>
      <c r="AG53" s="199">
        <f ca="1">SUMIFS(INDIRECT("'"&amp;$A53&amp;$B$3&amp;"'!"&amp;"$i:$i"),INDIRECT("'"&amp;$A53&amp;$B$3&amp;"'!"&amp;"$A:$A"),'Receita Líquida - O&amp;G'!AG$1)</f>
        <v>2895</v>
      </c>
      <c r="AH53" s="199">
        <f ca="1">SUMIFS(INDIRECT("'"&amp;$A53&amp;$B$3&amp;"'!"&amp;"$i:$i"),INDIRECT("'"&amp;$A53&amp;$B$3&amp;"'!"&amp;"$A:$A"),'Receita Líquida - O&amp;G'!AH$1)</f>
        <v>6829</v>
      </c>
      <c r="AI53" s="199">
        <f ca="1">SUMIFS(INDIRECT("'"&amp;$A53&amp;$B$3&amp;"'!"&amp;"$i:$i"),INDIRECT("'"&amp;$A53&amp;$B$3&amp;"'!"&amp;"$A:$A"),'Receita Líquida - O&amp;G'!AI$1)</f>
        <v>10082</v>
      </c>
      <c r="AJ53" s="199">
        <f ca="1">SUMIFS(INDIRECT("'"&amp;$A53&amp;$B$3&amp;"'!"&amp;"$i:$i"),INDIRECT("'"&amp;$A53&amp;$B$3&amp;"'!"&amp;"$A:$A"),'Receita Líquida - O&amp;G'!AJ$1)</f>
        <v>12865</v>
      </c>
      <c r="AK53" s="199">
        <f ca="1">SUMIFS(INDIRECT("'"&amp;$A53&amp;$B$3&amp;"'!"&amp;"$i:$i"),INDIRECT("'"&amp;$A53&amp;$B$3&amp;"'!"&amp;"$A:$A"),'Receita Líquida - O&amp;G'!AK$1)</f>
        <v>13276</v>
      </c>
      <c r="AL53" s="199">
        <f ca="1">SUMIFS(INDIRECT("'"&amp;$A53&amp;$B$3&amp;"'!"&amp;"$i:$i"),INDIRECT("'"&amp;$A53&amp;$B$3&amp;"'!"&amp;"$A:$A"),'Receita Líquida - O&amp;G'!AL$1)</f>
        <v>14357</v>
      </c>
      <c r="AM53" s="199">
        <f ca="1">SUMIFS(INDIRECT("'"&amp;$A53&amp;$B$3&amp;"'!"&amp;"$i:$i"),INDIRECT("'"&amp;$A53&amp;$B$3&amp;"'!"&amp;"$A:$A"),'Receita Líquida - O&amp;G'!AM$1)</f>
        <v>13251</v>
      </c>
      <c r="AN53" s="199">
        <f ca="1">SUMIFS(INDIRECT("'"&amp;$A53&amp;$B$3&amp;"'!"&amp;"$i:$i"),INDIRECT("'"&amp;$A53&amp;$B$3&amp;"'!"&amp;"$A:$A"),'Receita Líquida - O&amp;G'!AN$1)</f>
        <v>10654</v>
      </c>
      <c r="AO53" s="199">
        <f ca="1">SUMIFS(INDIRECT("'"&amp;$A53&amp;$B$3&amp;"'!"&amp;"$i:$i"),INDIRECT("'"&amp;$A53&amp;$B$3&amp;"'!"&amp;"$A:$A"),'Receita Líquida - O&amp;G'!AO$1)</f>
        <v>8532</v>
      </c>
      <c r="AP53" s="199">
        <f ca="1">SUMIFS(INDIRECT("'"&amp;$A53&amp;$B$3&amp;"'!"&amp;"$i:$i"),INDIRECT("'"&amp;$A53&amp;$B$3&amp;"'!"&amp;"$A:$A"),'Receita Líquida - O&amp;G'!AP$1)</f>
        <v>6693</v>
      </c>
      <c r="AQ53" s="199">
        <f ca="1">SUMIFS(INDIRECT("'"&amp;$A53&amp;$B$3&amp;"'!"&amp;"$i:$i"),INDIRECT("'"&amp;$A53&amp;$B$3&amp;"'!"&amp;"$A:$A"),'Receita Líquida - O&amp;G'!AQ$1)</f>
        <v>5162</v>
      </c>
      <c r="AR53" s="199">
        <f ca="1">SUMIFS(INDIRECT("'"&amp;$A53&amp;$B$3&amp;"'!"&amp;"$i:$i"),INDIRECT("'"&amp;$A53&amp;$B$3&amp;"'!"&amp;"$A:$A"),'Receita Líquida - O&amp;G'!AR$1)</f>
        <v>3769</v>
      </c>
      <c r="AS53" s="199">
        <f ca="1">SUMIFS(INDIRECT("'"&amp;$A53&amp;$B$3&amp;"'!"&amp;"$i:$i"),INDIRECT("'"&amp;$A53&amp;$B$3&amp;"'!"&amp;"$A:$A"),'Receita Líquida - O&amp;G'!AS$1)</f>
        <v>2656</v>
      </c>
      <c r="AT53" s="199">
        <f ca="1">SUMIFS(INDIRECT("'"&amp;$A53&amp;$B$3&amp;"'!"&amp;"$i:$i"),INDIRECT("'"&amp;$A53&amp;$B$3&amp;"'!"&amp;"$A:$A"),'Receita Líquida - O&amp;G'!AT$1)</f>
        <v>1676</v>
      </c>
      <c r="AU53" s="199">
        <f ca="1">SUMIFS(INDIRECT("'"&amp;$A53&amp;$B$3&amp;"'!"&amp;"$i:$i"),INDIRECT("'"&amp;$A53&amp;$B$3&amp;"'!"&amp;"$A:$A"),'Receita Líquida - O&amp;G'!AU$1)</f>
        <v>967</v>
      </c>
      <c r="AV53" s="199">
        <f ca="1">SUMIFS(INDIRECT("'"&amp;$A53&amp;$B$3&amp;"'!"&amp;"$i:$i"),INDIRECT("'"&amp;$A53&amp;$B$3&amp;"'!"&amp;"$A:$A"),'Receita Líquida - O&amp;G'!AV$1)</f>
        <v>393</v>
      </c>
      <c r="AW53" s="199">
        <f ca="1">SUMIFS(INDIRECT("'"&amp;$A53&amp;$B$3&amp;"'!"&amp;"$i:$i"),INDIRECT("'"&amp;$A53&amp;$B$3&amp;"'!"&amp;"$A:$A"),'Receita Líquida - O&amp;G'!AW$1)</f>
        <v>0</v>
      </c>
      <c r="AX53" s="199">
        <f ca="1">SUMIFS(INDIRECT("'"&amp;$A53&amp;$B$3&amp;"'!"&amp;"$i:$i"),INDIRECT("'"&amp;$A53&amp;$B$3&amp;"'!"&amp;"$A:$A"),'Receita Líquida - O&amp;G'!AX$1)</f>
        <v>0</v>
      </c>
      <c r="AY53" s="199">
        <f ca="1">SUMIFS(INDIRECT("'"&amp;$A53&amp;$B$3&amp;"'!"&amp;"$i:$i"),INDIRECT("'"&amp;$A53&amp;$B$3&amp;"'!"&amp;"$A:$A"),'Receita Líquida - O&amp;G'!AY$1)</f>
        <v>0</v>
      </c>
      <c r="AZ53" s="199">
        <f ca="1">SUMIFS(INDIRECT("'"&amp;$A53&amp;$B$3&amp;"'!"&amp;"$i:$i"),INDIRECT("'"&amp;$A53&amp;$B$3&amp;"'!"&amp;"$A:$A"),'Receita Líquida - O&amp;G'!AZ$1)</f>
        <v>0</v>
      </c>
      <c r="BA53" s="199">
        <f ca="1">SUMIFS(INDIRECT("'"&amp;$A53&amp;$B$3&amp;"'!"&amp;"$i:$i"),INDIRECT("'"&amp;$A53&amp;$B$3&amp;"'!"&amp;"$A:$A"),'Receita Líquida - O&amp;G'!BA$1)</f>
        <v>0</v>
      </c>
      <c r="BB53" s="199">
        <f ca="1">SUMIFS(INDIRECT("'"&amp;$A53&amp;$B$3&amp;"'!"&amp;"$i:$i"),INDIRECT("'"&amp;$A53&amp;$B$3&amp;"'!"&amp;"$A:$A"),'Receita Líquida - O&amp;G'!BB$1)</f>
        <v>0</v>
      </c>
      <c r="BC53" s="199">
        <f ca="1">SUMIFS(INDIRECT("'"&amp;$A53&amp;$B$3&amp;"'!"&amp;"$i:$i"),INDIRECT("'"&amp;$A53&amp;$B$3&amp;"'!"&amp;"$A:$A"),'Receita Líquida - O&amp;G'!BC$1)</f>
        <v>0</v>
      </c>
      <c r="BD53" s="199">
        <f ca="1">SUMIFS(INDIRECT("'"&amp;$A53&amp;$B$3&amp;"'!"&amp;"$i:$i"),INDIRECT("'"&amp;$A53&amp;$B$3&amp;"'!"&amp;"$A:$A"),'Receita Líquida - O&amp;G'!BD$1)</f>
        <v>0</v>
      </c>
      <c r="BE53" s="199">
        <f ca="1">SUMIFS(INDIRECT("'"&amp;$A53&amp;$B$3&amp;"'!"&amp;"$i:$i"),INDIRECT("'"&amp;$A53&amp;$B$3&amp;"'!"&amp;"$A:$A"),'Receita Líquida - O&amp;G'!BE$1)</f>
        <v>0</v>
      </c>
      <c r="BF53" s="199">
        <f ca="1">SUMIFS(INDIRECT("'"&amp;$A53&amp;$B$3&amp;"'!"&amp;"$i:$i"),INDIRECT("'"&amp;$A53&amp;$B$3&amp;"'!"&amp;"$A:$A"),'Receita Líquida - O&amp;G'!BF$1)</f>
        <v>0</v>
      </c>
      <c r="BG53" s="199">
        <f ca="1">SUMIFS(INDIRECT("'"&amp;$A53&amp;$B$3&amp;"'!"&amp;"$i:$i"),INDIRECT("'"&amp;$A53&amp;$B$3&amp;"'!"&amp;"$A:$A"),'Receita Líquida - O&amp;G'!BG$1)</f>
        <v>0</v>
      </c>
      <c r="BH53" s="199">
        <f ca="1">SUMIFS(INDIRECT("'"&amp;$A53&amp;$B$3&amp;"'!"&amp;"$i:$i"),INDIRECT("'"&amp;$A53&amp;$B$3&amp;"'!"&amp;"$A:$A"),'Receita Líquida - O&amp;G'!BH$1)</f>
        <v>0</v>
      </c>
      <c r="BI53" s="199">
        <f ca="1">SUMIFS(INDIRECT("'"&amp;$A53&amp;$B$3&amp;"'!"&amp;"$i:$i"),INDIRECT("'"&amp;$A53&amp;$B$3&amp;"'!"&amp;"$A:$A"),'Receita Líquida - O&amp;G'!BI$1)</f>
        <v>0</v>
      </c>
      <c r="BJ53" s="199">
        <f ca="1">SUMIFS(INDIRECT("'"&amp;$A53&amp;$B$3&amp;"'!"&amp;"$i:$i"),INDIRECT("'"&amp;$A53&amp;$B$3&amp;"'!"&amp;"$A:$A"),'Receita Líquida - O&amp;G'!BJ$1)</f>
        <v>0</v>
      </c>
      <c r="BK53" s="199">
        <f ca="1">SUMIFS(INDIRECT("'"&amp;$A53&amp;$B$3&amp;"'!"&amp;"$i:$i"),INDIRECT("'"&amp;$A53&amp;$B$3&amp;"'!"&amp;"$A:$A"),'Receita Líquida - O&amp;G'!BK$1)</f>
        <v>0</v>
      </c>
      <c r="BL53" s="199">
        <f ca="1">SUMIFS(INDIRECT("'"&amp;$A53&amp;$B$3&amp;"'!"&amp;"$i:$i"),INDIRECT("'"&amp;$A53&amp;$B$3&amp;"'!"&amp;"$A:$A"),'Receita Líquida - O&amp;G'!BL$1)</f>
        <v>0</v>
      </c>
      <c r="BM53" s="199">
        <f ca="1">SUMIFS(INDIRECT("'"&amp;$A53&amp;$B$3&amp;"'!"&amp;"$i:$i"),INDIRECT("'"&amp;$A53&amp;$B$3&amp;"'!"&amp;"$A:$A"),'Receita Líquida - O&amp;G'!BM$1)</f>
        <v>0</v>
      </c>
      <c r="BN53" s="199">
        <f ca="1">SUMIFS(INDIRECT("'"&amp;$A53&amp;$B$3&amp;"'!"&amp;"$i:$i"),INDIRECT("'"&amp;$A53&amp;$B$3&amp;"'!"&amp;"$A:$A"),'Receita Líquida - O&amp;G'!BN$1)</f>
        <v>0</v>
      </c>
      <c r="BO53" s="199">
        <f ca="1">SUMIFS(INDIRECT("'"&amp;$A53&amp;$B$3&amp;"'!"&amp;"$i:$i"),INDIRECT("'"&amp;$A53&amp;$B$3&amp;"'!"&amp;"$A:$A"),'Receita Líquida - O&amp;G'!BO$1)</f>
        <v>0</v>
      </c>
      <c r="BP53" s="199">
        <f ca="1">SUMIFS(INDIRECT("'"&amp;$A53&amp;$B$3&amp;"'!"&amp;"$i:$i"),INDIRECT("'"&amp;$A53&amp;$B$3&amp;"'!"&amp;"$A:$A"),'Receita Líquida - O&amp;G'!BP$1)</f>
        <v>0</v>
      </c>
      <c r="BQ53" s="199">
        <f ca="1">SUMIFS(INDIRECT("'"&amp;$A53&amp;$B$3&amp;"'!"&amp;"$i:$i"),INDIRECT("'"&amp;$A53&amp;$B$3&amp;"'!"&amp;"$A:$A"),'Receita Líquida - O&amp;G'!BQ$1)</f>
        <v>0</v>
      </c>
      <c r="BR53" s="199">
        <f ca="1">SUMIFS(INDIRECT("'"&amp;$A53&amp;$B$3&amp;"'!"&amp;"$i:$i"),INDIRECT("'"&amp;$A53&amp;$B$3&amp;"'!"&amp;"$A:$A"),'Receita Líquida - O&amp;G'!BR$1)</f>
        <v>0</v>
      </c>
      <c r="BS53" s="199">
        <f ca="1">SUMIFS(INDIRECT("'"&amp;$A53&amp;$B$3&amp;"'!"&amp;"$i:$i"),INDIRECT("'"&amp;$A53&amp;$B$3&amp;"'!"&amp;"$A:$A"),'Receita Líquida - O&amp;G'!BS$1)</f>
        <v>0</v>
      </c>
      <c r="BT53" s="199">
        <f ca="1">SUMIFS(INDIRECT("'"&amp;$A53&amp;$B$3&amp;"'!"&amp;"$i:$i"),INDIRECT("'"&amp;$A53&amp;$B$3&amp;"'!"&amp;"$A:$A"),'Receita Líquida - O&amp;G'!BT$1)</f>
        <v>0</v>
      </c>
      <c r="BU53" s="199">
        <f ca="1">SUMIFS(INDIRECT("'"&amp;$A53&amp;$B$3&amp;"'!"&amp;"$i:$i"),INDIRECT("'"&amp;$A53&amp;$B$3&amp;"'!"&amp;"$A:$A"),'Receita Líquida - O&amp;G'!BU$1)</f>
        <v>0</v>
      </c>
      <c r="BV53" s="199">
        <f ca="1">SUMIFS(INDIRECT("'"&amp;$A53&amp;$B$3&amp;"'!"&amp;"$i:$i"),INDIRECT("'"&amp;$A53&amp;$B$3&amp;"'!"&amp;"$A:$A"),'Receita Líquida - O&amp;G'!BV$1)</f>
        <v>0</v>
      </c>
      <c r="BW53" s="199">
        <f ca="1">SUMIFS(INDIRECT("'"&amp;$A53&amp;$B$3&amp;"'!"&amp;"$i:$i"),INDIRECT("'"&amp;$A53&amp;$B$3&amp;"'!"&amp;"$A:$A"),'Receita Líquida - O&amp;G'!BW$1)</f>
        <v>0</v>
      </c>
    </row>
    <row r="54" spans="1:75" x14ac:dyDescent="0.3">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row>
    <row r="55" spans="1:75" x14ac:dyDescent="0.3">
      <c r="A55" s="4" t="s">
        <v>7</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row>
    <row r="56" spans="1:75" x14ac:dyDescent="0.3">
      <c r="A56" s="5" t="s">
        <v>696</v>
      </c>
      <c r="B56" s="5"/>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60">
        <v>35.314666719999998</v>
      </c>
      <c r="AH56" s="60">
        <v>35.314666719999998</v>
      </c>
      <c r="AI56" s="60">
        <v>35.314666719999998</v>
      </c>
      <c r="AJ56" s="60">
        <v>35.314666719999998</v>
      </c>
      <c r="AK56" s="60">
        <v>35.314666719999998</v>
      </c>
      <c r="AL56" s="60">
        <v>35.314666719999998</v>
      </c>
      <c r="AM56" s="60">
        <v>35.314666719999998</v>
      </c>
      <c r="AN56" s="60">
        <v>35.314666719999998</v>
      </c>
      <c r="AO56" s="60">
        <v>35.314666719999998</v>
      </c>
      <c r="AP56" s="60">
        <v>35.314666719999998</v>
      </c>
      <c r="AQ56" s="60">
        <v>35.314666719999998</v>
      </c>
      <c r="AR56" s="60">
        <v>35.314666719999998</v>
      </c>
      <c r="AS56" s="60">
        <v>35.314666719999998</v>
      </c>
      <c r="AT56" s="60">
        <v>35.314666719999998</v>
      </c>
      <c r="AU56" s="60">
        <v>35.314666719999998</v>
      </c>
      <c r="AV56" s="60">
        <v>35.314666719999998</v>
      </c>
      <c r="AW56" s="60">
        <v>35.314666719999998</v>
      </c>
      <c r="AX56" s="60">
        <v>35.314666719999998</v>
      </c>
      <c r="AY56" s="60">
        <v>35.314666719999998</v>
      </c>
      <c r="AZ56" s="60">
        <v>35.314666719999998</v>
      </c>
      <c r="BA56" s="60">
        <v>35.314666719999998</v>
      </c>
      <c r="BB56" s="60">
        <v>35.314666719999998</v>
      </c>
      <c r="BC56" s="60">
        <v>35.314666719999998</v>
      </c>
      <c r="BD56" s="60">
        <v>35.314666719999998</v>
      </c>
      <c r="BE56" s="60">
        <v>35.314666719999998</v>
      </c>
      <c r="BF56" s="60">
        <v>35.314666719999998</v>
      </c>
      <c r="BG56" s="60">
        <v>35.314666719999998</v>
      </c>
      <c r="BH56" s="60">
        <v>35.314666719999998</v>
      </c>
      <c r="BI56" s="60">
        <v>35.314666719999998</v>
      </c>
      <c r="BJ56" s="60">
        <v>35.314666719999998</v>
      </c>
      <c r="BK56" s="60">
        <v>35.314666719999998</v>
      </c>
      <c r="BL56" s="60">
        <v>35.314666719999998</v>
      </c>
      <c r="BM56" s="60">
        <v>35.314666719999998</v>
      </c>
      <c r="BN56" s="60">
        <v>35.314666719999998</v>
      </c>
      <c r="BO56" s="60">
        <v>35.314666719999998</v>
      </c>
      <c r="BP56" s="60">
        <v>35.314666719999998</v>
      </c>
      <c r="BQ56" s="60">
        <v>35.314666719999998</v>
      </c>
      <c r="BR56" s="60">
        <v>35.314666719999998</v>
      </c>
      <c r="BS56" s="60">
        <v>35.314666719999998</v>
      </c>
      <c r="BT56" s="60">
        <v>35.314666719999998</v>
      </c>
      <c r="BU56" s="60">
        <v>35.314666719999998</v>
      </c>
      <c r="BV56" s="60">
        <v>35.314666719999998</v>
      </c>
      <c r="BW56" s="60">
        <v>35.314666719999998</v>
      </c>
    </row>
    <row r="57" spans="1:75" x14ac:dyDescent="0.3">
      <c r="A57" s="5" t="s">
        <v>697</v>
      </c>
      <c r="B57" s="5"/>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60">
        <v>28.263681999999999</v>
      </c>
      <c r="AH57" s="60">
        <v>28.263681999999999</v>
      </c>
      <c r="AI57" s="60">
        <v>28.263681999999999</v>
      </c>
      <c r="AJ57" s="60">
        <v>28.263681999999999</v>
      </c>
      <c r="AK57" s="60">
        <v>28.263681999999999</v>
      </c>
      <c r="AL57" s="60">
        <v>28.263681999999999</v>
      </c>
      <c r="AM57" s="60">
        <v>28.263681999999999</v>
      </c>
      <c r="AN57" s="60">
        <v>28.263681999999999</v>
      </c>
      <c r="AO57" s="60">
        <v>28.263681999999999</v>
      </c>
      <c r="AP57" s="60">
        <v>28.263681999999999</v>
      </c>
      <c r="AQ57" s="60">
        <v>28.263681999999999</v>
      </c>
      <c r="AR57" s="60">
        <v>28.263681999999999</v>
      </c>
      <c r="AS57" s="60">
        <v>28.263681999999999</v>
      </c>
      <c r="AT57" s="60">
        <v>28.263681999999999</v>
      </c>
      <c r="AU57" s="60">
        <v>28.263681999999999</v>
      </c>
      <c r="AV57" s="60">
        <v>28.263681999999999</v>
      </c>
      <c r="AW57" s="60">
        <v>28.263681999999999</v>
      </c>
      <c r="AX57" s="60">
        <v>28.263681999999999</v>
      </c>
      <c r="AY57" s="60">
        <v>28.263681999999999</v>
      </c>
      <c r="AZ57" s="60">
        <v>28.263681999999999</v>
      </c>
      <c r="BA57" s="60">
        <v>28.263681999999999</v>
      </c>
      <c r="BB57" s="60">
        <v>28.263681999999999</v>
      </c>
      <c r="BC57" s="60">
        <v>28.263681999999999</v>
      </c>
      <c r="BD57" s="60">
        <v>28.263681999999999</v>
      </c>
      <c r="BE57" s="60">
        <v>28.263681999999999</v>
      </c>
      <c r="BF57" s="60">
        <v>28.263681999999999</v>
      </c>
      <c r="BG57" s="60">
        <v>28.263681999999999</v>
      </c>
      <c r="BH57" s="60">
        <v>28.263681999999999</v>
      </c>
      <c r="BI57" s="60">
        <v>28.263681999999999</v>
      </c>
      <c r="BJ57" s="60">
        <v>28.263681999999999</v>
      </c>
      <c r="BK57" s="60">
        <v>28.263681999999999</v>
      </c>
      <c r="BL57" s="60">
        <v>28.263681999999999</v>
      </c>
      <c r="BM57" s="60">
        <v>28.263681999999999</v>
      </c>
      <c r="BN57" s="60">
        <v>28.263681999999999</v>
      </c>
      <c r="BO57" s="60">
        <v>28.263681999999999</v>
      </c>
      <c r="BP57" s="60">
        <v>28.263681999999999</v>
      </c>
      <c r="BQ57" s="60">
        <v>28.263681999999999</v>
      </c>
      <c r="BR57" s="60">
        <v>28.263681999999999</v>
      </c>
      <c r="BS57" s="60">
        <v>28.263681999999999</v>
      </c>
      <c r="BT57" s="60">
        <v>28.263681999999999</v>
      </c>
      <c r="BU57" s="60">
        <v>28.263681999999999</v>
      </c>
      <c r="BV57" s="60">
        <v>28.263681999999999</v>
      </c>
      <c r="BW57" s="60">
        <v>28.263681999999999</v>
      </c>
    </row>
    <row r="58" spans="1:75" x14ac:dyDescent="0.3">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row>
    <row r="59" spans="1:75" x14ac:dyDescent="0.3">
      <c r="A59" s="4" t="s">
        <v>8</v>
      </c>
      <c r="B59" s="4"/>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48">
        <f t="shared" ref="AG59:BL59" ca="1" si="81">SUM(AG60:AG63)</f>
        <v>12723.888972907314</v>
      </c>
      <c r="AH59" s="48">
        <f t="shared" ca="1" si="81"/>
        <v>21983.273373506479</v>
      </c>
      <c r="AI59" s="48">
        <f t="shared" ca="1" si="81"/>
        <v>24561.113241797073</v>
      </c>
      <c r="AJ59" s="48">
        <f t="shared" ca="1" si="81"/>
        <v>28683.853645223338</v>
      </c>
      <c r="AK59" s="48">
        <f t="shared" ca="1" si="81"/>
        <v>31518.175055015054</v>
      </c>
      <c r="AL59" s="48">
        <f t="shared" ca="1" si="81"/>
        <v>35507.665282583315</v>
      </c>
      <c r="AM59" s="48">
        <f t="shared" ca="1" si="81"/>
        <v>31299.764992330503</v>
      </c>
      <c r="AN59" s="48">
        <f t="shared" ca="1" si="81"/>
        <v>23508.136288212383</v>
      </c>
      <c r="AO59" s="48">
        <f t="shared" ca="1" si="81"/>
        <v>17586.017570192293</v>
      </c>
      <c r="AP59" s="48">
        <f t="shared" ca="1" si="81"/>
        <v>13691.706039665462</v>
      </c>
      <c r="AQ59" s="48">
        <f t="shared" ca="1" si="81"/>
        <v>10947.553921807736</v>
      </c>
      <c r="AR59" s="48">
        <f t="shared" ca="1" si="81"/>
        <v>8556.0639235140516</v>
      </c>
      <c r="AS59" s="48">
        <f t="shared" ca="1" si="81"/>
        <v>6411.0366565066079</v>
      </c>
      <c r="AT59" s="48">
        <f t="shared" ca="1" si="81"/>
        <v>4813.0364272320276</v>
      </c>
      <c r="AU59" s="48">
        <f t="shared" ca="1" si="81"/>
        <v>3782.1008561200879</v>
      </c>
      <c r="AV59" s="48">
        <f t="shared" ca="1" si="81"/>
        <v>393.73924144508464</v>
      </c>
      <c r="AW59" s="48">
        <f t="shared" ca="1" si="81"/>
        <v>0</v>
      </c>
      <c r="AX59" s="48">
        <f t="shared" ca="1" si="81"/>
        <v>0</v>
      </c>
      <c r="AY59" s="48">
        <f t="shared" ca="1" si="81"/>
        <v>0</v>
      </c>
      <c r="AZ59" s="48">
        <f t="shared" ca="1" si="81"/>
        <v>0</v>
      </c>
      <c r="BA59" s="48">
        <f t="shared" ca="1" si="81"/>
        <v>0</v>
      </c>
      <c r="BB59" s="48">
        <f t="shared" ca="1" si="81"/>
        <v>0</v>
      </c>
      <c r="BC59" s="48">
        <f t="shared" ca="1" si="81"/>
        <v>0</v>
      </c>
      <c r="BD59" s="48">
        <f t="shared" ca="1" si="81"/>
        <v>0</v>
      </c>
      <c r="BE59" s="48">
        <f t="shared" ca="1" si="81"/>
        <v>0</v>
      </c>
      <c r="BF59" s="48">
        <f t="shared" ca="1" si="81"/>
        <v>0</v>
      </c>
      <c r="BG59" s="48">
        <f t="shared" ca="1" si="81"/>
        <v>0</v>
      </c>
      <c r="BH59" s="48">
        <f t="shared" ca="1" si="81"/>
        <v>0</v>
      </c>
      <c r="BI59" s="48">
        <f t="shared" ca="1" si="81"/>
        <v>0</v>
      </c>
      <c r="BJ59" s="48">
        <f t="shared" ca="1" si="81"/>
        <v>0</v>
      </c>
      <c r="BK59" s="48">
        <f t="shared" ca="1" si="81"/>
        <v>0</v>
      </c>
      <c r="BL59" s="48">
        <f t="shared" ca="1" si="81"/>
        <v>0</v>
      </c>
      <c r="BM59" s="48">
        <f t="shared" ref="BM59:BW59" ca="1" si="82">SUM(BM60:BM63)</f>
        <v>0</v>
      </c>
      <c r="BN59" s="48">
        <f t="shared" ca="1" si="82"/>
        <v>0</v>
      </c>
      <c r="BO59" s="48">
        <f t="shared" ca="1" si="82"/>
        <v>0</v>
      </c>
      <c r="BP59" s="48">
        <f t="shared" ca="1" si="82"/>
        <v>0</v>
      </c>
      <c r="BQ59" s="48">
        <f t="shared" ca="1" si="82"/>
        <v>0</v>
      </c>
      <c r="BR59" s="48">
        <f t="shared" ca="1" si="82"/>
        <v>0</v>
      </c>
      <c r="BS59" s="48">
        <f t="shared" ca="1" si="82"/>
        <v>0</v>
      </c>
      <c r="BT59" s="48">
        <f t="shared" ca="1" si="82"/>
        <v>0</v>
      </c>
      <c r="BU59" s="48">
        <f t="shared" ca="1" si="82"/>
        <v>0</v>
      </c>
      <c r="BV59" s="48">
        <f t="shared" ca="1" si="82"/>
        <v>0</v>
      </c>
      <c r="BW59" s="48">
        <f t="shared" ca="1" si="82"/>
        <v>0</v>
      </c>
    </row>
    <row r="60" spans="1:75" x14ac:dyDescent="0.3">
      <c r="A60" s="5" t="s">
        <v>66</v>
      </c>
      <c r="B60" s="5"/>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51">
        <f ca="1">((AG50)*(1/AG$56))/AG$57*10^3</f>
        <v>9823.4434156973402</v>
      </c>
      <c r="AH60" s="51">
        <f t="shared" ref="AH60:BW60" ca="1" si="83">((AH50)*(1/AH$56))/AH$57*10^3</f>
        <v>15141.427877759703</v>
      </c>
      <c r="AI60" s="51">
        <f t="shared" ca="1" si="83"/>
        <v>14460.148783147344</v>
      </c>
      <c r="AJ60" s="51">
        <f t="shared" ca="1" si="83"/>
        <v>15794.65430377038</v>
      </c>
      <c r="AK60" s="51">
        <f t="shared" ca="1" si="83"/>
        <v>18217.202613730213</v>
      </c>
      <c r="AL60" s="51">
        <f t="shared" ca="1" si="83"/>
        <v>21123.65945706912</v>
      </c>
      <c r="AM60" s="51">
        <f t="shared" ca="1" si="83"/>
        <v>18023.839576582879</v>
      </c>
      <c r="AN60" s="51">
        <f t="shared" ca="1" si="83"/>
        <v>12834.095885271081</v>
      </c>
      <c r="AO60" s="51">
        <f t="shared" ca="1" si="83"/>
        <v>9037.9686948501476</v>
      </c>
      <c r="AP60" s="51">
        <f t="shared" ca="1" si="83"/>
        <v>6986.1163628411578</v>
      </c>
      <c r="AQ60" s="51">
        <f t="shared" ca="1" si="83"/>
        <v>5775.8440888827299</v>
      </c>
      <c r="AR60" s="51">
        <f t="shared" ca="1" si="83"/>
        <v>4779.9743535228972</v>
      </c>
      <c r="AS60" s="51">
        <f t="shared" ca="1" si="83"/>
        <v>3750.0406634324477</v>
      </c>
      <c r="AT60" s="51">
        <f t="shared" ca="1" si="83"/>
        <v>3133.8838352168568</v>
      </c>
      <c r="AU60" s="51">
        <f t="shared" ca="1" si="83"/>
        <v>2813.281908340452</v>
      </c>
      <c r="AV60" s="51">
        <f t="shared" ca="1" si="83"/>
        <v>0</v>
      </c>
      <c r="AW60" s="51">
        <f t="shared" ca="1" si="83"/>
        <v>0</v>
      </c>
      <c r="AX60" s="51">
        <f t="shared" ca="1" si="83"/>
        <v>0</v>
      </c>
      <c r="AY60" s="51">
        <f t="shared" ca="1" si="83"/>
        <v>0</v>
      </c>
      <c r="AZ60" s="51">
        <f t="shared" ca="1" si="83"/>
        <v>0</v>
      </c>
      <c r="BA60" s="51">
        <f t="shared" ca="1" si="83"/>
        <v>0</v>
      </c>
      <c r="BB60" s="51">
        <f t="shared" ca="1" si="83"/>
        <v>0</v>
      </c>
      <c r="BC60" s="51">
        <f t="shared" ca="1" si="83"/>
        <v>0</v>
      </c>
      <c r="BD60" s="51">
        <f t="shared" ca="1" si="83"/>
        <v>0</v>
      </c>
      <c r="BE60" s="51">
        <f t="shared" ca="1" si="83"/>
        <v>0</v>
      </c>
      <c r="BF60" s="51">
        <f t="shared" ca="1" si="83"/>
        <v>0</v>
      </c>
      <c r="BG60" s="51">
        <f t="shared" ca="1" si="83"/>
        <v>0</v>
      </c>
      <c r="BH60" s="51">
        <f t="shared" ca="1" si="83"/>
        <v>0</v>
      </c>
      <c r="BI60" s="51">
        <f t="shared" ca="1" si="83"/>
        <v>0</v>
      </c>
      <c r="BJ60" s="51">
        <f t="shared" ca="1" si="83"/>
        <v>0</v>
      </c>
      <c r="BK60" s="51">
        <f t="shared" ca="1" si="83"/>
        <v>0</v>
      </c>
      <c r="BL60" s="51">
        <f t="shared" ca="1" si="83"/>
        <v>0</v>
      </c>
      <c r="BM60" s="51">
        <f t="shared" ca="1" si="83"/>
        <v>0</v>
      </c>
      <c r="BN60" s="51">
        <f t="shared" ca="1" si="83"/>
        <v>0</v>
      </c>
      <c r="BO60" s="51">
        <f t="shared" ca="1" si="83"/>
        <v>0</v>
      </c>
      <c r="BP60" s="51">
        <f t="shared" ca="1" si="83"/>
        <v>0</v>
      </c>
      <c r="BQ60" s="51">
        <f t="shared" ca="1" si="83"/>
        <v>0</v>
      </c>
      <c r="BR60" s="51">
        <f t="shared" ca="1" si="83"/>
        <v>0</v>
      </c>
      <c r="BS60" s="51">
        <f t="shared" ca="1" si="83"/>
        <v>0</v>
      </c>
      <c r="BT60" s="51">
        <f t="shared" ca="1" si="83"/>
        <v>0</v>
      </c>
      <c r="BU60" s="51">
        <f t="shared" ca="1" si="83"/>
        <v>0</v>
      </c>
      <c r="BV60" s="51">
        <f t="shared" ca="1" si="83"/>
        <v>0</v>
      </c>
      <c r="BW60" s="51">
        <f t="shared" ca="1" si="83"/>
        <v>0</v>
      </c>
    </row>
    <row r="61" spans="1:75" x14ac:dyDescent="0.3">
      <c r="A61" s="5" t="s">
        <v>67</v>
      </c>
      <c r="B61" s="5"/>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L61" s="72"/>
      <c r="BM61" s="72"/>
      <c r="BN61" s="72"/>
      <c r="BO61" s="72"/>
      <c r="BP61" s="72"/>
      <c r="BQ61" s="72"/>
      <c r="BR61" s="72"/>
      <c r="BS61" s="72"/>
      <c r="BT61" s="72"/>
      <c r="BU61" s="72"/>
      <c r="BV61" s="72"/>
      <c r="BW61" s="72"/>
    </row>
    <row r="62" spans="1:75" x14ac:dyDescent="0.3">
      <c r="A62" s="5" t="s">
        <v>69</v>
      </c>
      <c r="B62" s="5"/>
      <c r="C62" s="72"/>
      <c r="D62" s="72"/>
      <c r="E62" s="72"/>
      <c r="F62" s="72"/>
      <c r="G62" s="72"/>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51">
        <f t="shared" ref="AG62:BW62" ca="1" si="84">((AG52)*(1/AG$56))/AG$57*10^3</f>
        <v>0</v>
      </c>
      <c r="AH62" s="51">
        <f t="shared" ca="1" si="84"/>
        <v>0</v>
      </c>
      <c r="AI62" s="51">
        <f t="shared" ca="1" si="84"/>
        <v>0</v>
      </c>
      <c r="AJ62" s="51">
        <f t="shared" ca="1" si="84"/>
        <v>0</v>
      </c>
      <c r="AK62" s="51">
        <f t="shared" ca="1" si="84"/>
        <v>0</v>
      </c>
      <c r="AL62" s="51">
        <f t="shared" ca="1" si="84"/>
        <v>0</v>
      </c>
      <c r="AM62" s="51">
        <f t="shared" ca="1" si="84"/>
        <v>0</v>
      </c>
      <c r="AN62" s="51">
        <f t="shared" ca="1" si="84"/>
        <v>0</v>
      </c>
      <c r="AO62" s="51">
        <f t="shared" ca="1" si="84"/>
        <v>0</v>
      </c>
      <c r="AP62" s="51">
        <f t="shared" ca="1" si="84"/>
        <v>0</v>
      </c>
      <c r="AQ62" s="51">
        <f t="shared" ca="1" si="84"/>
        <v>0</v>
      </c>
      <c r="AR62" s="51">
        <f t="shared" ca="1" si="84"/>
        <v>0</v>
      </c>
      <c r="AS62" s="51">
        <f t="shared" ca="1" si="84"/>
        <v>0</v>
      </c>
      <c r="AT62" s="51">
        <f t="shared" ca="1" si="84"/>
        <v>0</v>
      </c>
      <c r="AU62" s="51">
        <f t="shared" ca="1" si="84"/>
        <v>0</v>
      </c>
      <c r="AV62" s="51">
        <f t="shared" ca="1" si="84"/>
        <v>0</v>
      </c>
      <c r="AW62" s="51">
        <f t="shared" ca="1" si="84"/>
        <v>0</v>
      </c>
      <c r="AX62" s="51">
        <f t="shared" ca="1" si="84"/>
        <v>0</v>
      </c>
      <c r="AY62" s="51">
        <f t="shared" ca="1" si="84"/>
        <v>0</v>
      </c>
      <c r="AZ62" s="51">
        <f t="shared" ca="1" si="84"/>
        <v>0</v>
      </c>
      <c r="BA62" s="51">
        <f t="shared" ca="1" si="84"/>
        <v>0</v>
      </c>
      <c r="BB62" s="51">
        <f t="shared" ca="1" si="84"/>
        <v>0</v>
      </c>
      <c r="BC62" s="51">
        <f t="shared" ca="1" si="84"/>
        <v>0</v>
      </c>
      <c r="BD62" s="51">
        <f t="shared" ca="1" si="84"/>
        <v>0</v>
      </c>
      <c r="BE62" s="51">
        <f t="shared" ca="1" si="84"/>
        <v>0</v>
      </c>
      <c r="BF62" s="51">
        <f t="shared" ca="1" si="84"/>
        <v>0</v>
      </c>
      <c r="BG62" s="51">
        <f t="shared" ca="1" si="84"/>
        <v>0</v>
      </c>
      <c r="BH62" s="51">
        <f t="shared" ca="1" si="84"/>
        <v>0</v>
      </c>
      <c r="BI62" s="51">
        <f t="shared" ca="1" si="84"/>
        <v>0</v>
      </c>
      <c r="BJ62" s="51">
        <f t="shared" ca="1" si="84"/>
        <v>0</v>
      </c>
      <c r="BK62" s="51">
        <f t="shared" ca="1" si="84"/>
        <v>0</v>
      </c>
      <c r="BL62" s="51">
        <f t="shared" ca="1" si="84"/>
        <v>0</v>
      </c>
      <c r="BM62" s="51">
        <f t="shared" ca="1" si="84"/>
        <v>0</v>
      </c>
      <c r="BN62" s="51">
        <f t="shared" ca="1" si="84"/>
        <v>0</v>
      </c>
      <c r="BO62" s="51">
        <f t="shared" ca="1" si="84"/>
        <v>0</v>
      </c>
      <c r="BP62" s="51">
        <f t="shared" ca="1" si="84"/>
        <v>0</v>
      </c>
      <c r="BQ62" s="51">
        <f t="shared" ca="1" si="84"/>
        <v>0</v>
      </c>
      <c r="BR62" s="51">
        <f t="shared" ca="1" si="84"/>
        <v>0</v>
      </c>
      <c r="BS62" s="51">
        <f t="shared" ca="1" si="84"/>
        <v>0</v>
      </c>
      <c r="BT62" s="51">
        <f t="shared" ca="1" si="84"/>
        <v>0</v>
      </c>
      <c r="BU62" s="51">
        <f t="shared" ca="1" si="84"/>
        <v>0</v>
      </c>
      <c r="BV62" s="51">
        <f t="shared" ca="1" si="84"/>
        <v>0</v>
      </c>
      <c r="BW62" s="51">
        <f t="shared" ca="1" si="84"/>
        <v>0</v>
      </c>
    </row>
    <row r="63" spans="1:75" x14ac:dyDescent="0.3">
      <c r="A63" s="5" t="s">
        <v>68</v>
      </c>
      <c r="B63" s="5"/>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51">
        <f t="shared" ref="AG63:BW63" ca="1" si="85">((AG53)*(1/AG$56))/AG$57*10^3</f>
        <v>2900.4455572099746</v>
      </c>
      <c r="AH63" s="51">
        <f t="shared" ca="1" si="85"/>
        <v>6841.8454957467757</v>
      </c>
      <c r="AI63" s="51">
        <f t="shared" ca="1" si="85"/>
        <v>10100.964458649729</v>
      </c>
      <c r="AJ63" s="51">
        <f t="shared" ca="1" si="85"/>
        <v>12889.199341452961</v>
      </c>
      <c r="AK63" s="51">
        <f t="shared" ca="1" si="85"/>
        <v>13300.972441284843</v>
      </c>
      <c r="AL63" s="51">
        <f t="shared" ca="1" si="85"/>
        <v>14384.005825514198</v>
      </c>
      <c r="AM63" s="51">
        <f t="shared" ca="1" si="85"/>
        <v>13275.925415747624</v>
      </c>
      <c r="AN63" s="51">
        <f t="shared" ca="1" si="85"/>
        <v>10674.040402941302</v>
      </c>
      <c r="AO63" s="51">
        <f t="shared" ca="1" si="85"/>
        <v>8548.0488753421432</v>
      </c>
      <c r="AP63" s="51">
        <f t="shared" ca="1" si="85"/>
        <v>6705.5896768243038</v>
      </c>
      <c r="AQ63" s="51">
        <f t="shared" ca="1" si="85"/>
        <v>5171.7098329250057</v>
      </c>
      <c r="AR63" s="51">
        <f t="shared" ca="1" si="85"/>
        <v>3776.0895699911548</v>
      </c>
      <c r="AS63" s="51">
        <f t="shared" ca="1" si="85"/>
        <v>2660.9959930741602</v>
      </c>
      <c r="AT63" s="51">
        <f t="shared" ca="1" si="85"/>
        <v>1679.1525920151703</v>
      </c>
      <c r="AU63" s="51">
        <f t="shared" ca="1" si="85"/>
        <v>968.81894777963578</v>
      </c>
      <c r="AV63" s="51">
        <f t="shared" ca="1" si="85"/>
        <v>393.73924144508464</v>
      </c>
      <c r="AW63" s="51">
        <f t="shared" ca="1" si="85"/>
        <v>0</v>
      </c>
      <c r="AX63" s="51">
        <f t="shared" ca="1" si="85"/>
        <v>0</v>
      </c>
      <c r="AY63" s="51">
        <f t="shared" ca="1" si="85"/>
        <v>0</v>
      </c>
      <c r="AZ63" s="51">
        <f t="shared" ca="1" si="85"/>
        <v>0</v>
      </c>
      <c r="BA63" s="51">
        <f t="shared" ca="1" si="85"/>
        <v>0</v>
      </c>
      <c r="BB63" s="51">
        <f t="shared" ca="1" si="85"/>
        <v>0</v>
      </c>
      <c r="BC63" s="51">
        <f t="shared" ca="1" si="85"/>
        <v>0</v>
      </c>
      <c r="BD63" s="51">
        <f t="shared" ca="1" si="85"/>
        <v>0</v>
      </c>
      <c r="BE63" s="51">
        <f t="shared" ca="1" si="85"/>
        <v>0</v>
      </c>
      <c r="BF63" s="51">
        <f t="shared" ca="1" si="85"/>
        <v>0</v>
      </c>
      <c r="BG63" s="51">
        <f t="shared" ca="1" si="85"/>
        <v>0</v>
      </c>
      <c r="BH63" s="51">
        <f t="shared" ca="1" si="85"/>
        <v>0</v>
      </c>
      <c r="BI63" s="51">
        <f t="shared" ca="1" si="85"/>
        <v>0</v>
      </c>
      <c r="BJ63" s="51">
        <f t="shared" ca="1" si="85"/>
        <v>0</v>
      </c>
      <c r="BK63" s="51">
        <f t="shared" ca="1" si="85"/>
        <v>0</v>
      </c>
      <c r="BL63" s="51">
        <f t="shared" ca="1" si="85"/>
        <v>0</v>
      </c>
      <c r="BM63" s="51">
        <f t="shared" ca="1" si="85"/>
        <v>0</v>
      </c>
      <c r="BN63" s="51">
        <f t="shared" ca="1" si="85"/>
        <v>0</v>
      </c>
      <c r="BO63" s="51">
        <f t="shared" ca="1" si="85"/>
        <v>0</v>
      </c>
      <c r="BP63" s="51">
        <f t="shared" ca="1" si="85"/>
        <v>0</v>
      </c>
      <c r="BQ63" s="51">
        <f t="shared" ca="1" si="85"/>
        <v>0</v>
      </c>
      <c r="BR63" s="51">
        <f t="shared" ca="1" si="85"/>
        <v>0</v>
      </c>
      <c r="BS63" s="51">
        <f t="shared" ca="1" si="85"/>
        <v>0</v>
      </c>
      <c r="BT63" s="51">
        <f t="shared" ca="1" si="85"/>
        <v>0</v>
      </c>
      <c r="BU63" s="51">
        <f t="shared" ca="1" si="85"/>
        <v>0</v>
      </c>
      <c r="BV63" s="51">
        <f t="shared" ca="1" si="85"/>
        <v>0</v>
      </c>
      <c r="BW63" s="51">
        <f t="shared" ca="1" si="85"/>
        <v>0</v>
      </c>
    </row>
    <row r="64" spans="1:75" x14ac:dyDescent="0.3">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row>
    <row r="65" spans="1:75" x14ac:dyDescent="0.3">
      <c r="A65" s="22" t="s">
        <v>698</v>
      </c>
      <c r="AG65" s="60">
        <v>1</v>
      </c>
      <c r="AH65" s="70">
        <f t="shared" ref="AH65:BW65" si="86">AG65*(1+AH16)</f>
        <v>1.02</v>
      </c>
      <c r="AI65" s="70">
        <f t="shared" si="86"/>
        <v>1.0404</v>
      </c>
      <c r="AJ65" s="70">
        <f t="shared" si="86"/>
        <v>1.0612079999999999</v>
      </c>
      <c r="AK65" s="70">
        <f t="shared" si="86"/>
        <v>1.08243216</v>
      </c>
      <c r="AL65" s="70">
        <f t="shared" si="86"/>
        <v>1.1040808032</v>
      </c>
      <c r="AM65" s="70">
        <f t="shared" si="86"/>
        <v>1.1261624192640001</v>
      </c>
      <c r="AN65" s="70">
        <f t="shared" si="86"/>
        <v>1.14868566764928</v>
      </c>
      <c r="AO65" s="70">
        <f t="shared" si="86"/>
        <v>1.1716593810022657</v>
      </c>
      <c r="AP65" s="70">
        <f t="shared" si="86"/>
        <v>1.1950925686223111</v>
      </c>
      <c r="AQ65" s="70">
        <f t="shared" si="86"/>
        <v>1.2189944199947573</v>
      </c>
      <c r="AR65" s="70">
        <f t="shared" si="86"/>
        <v>1.2433743083946525</v>
      </c>
      <c r="AS65" s="70">
        <f t="shared" si="86"/>
        <v>1.2682417945625455</v>
      </c>
      <c r="AT65" s="70">
        <f t="shared" si="86"/>
        <v>1.2936066304537963</v>
      </c>
      <c r="AU65" s="70">
        <f t="shared" si="86"/>
        <v>1.3194787630628724</v>
      </c>
      <c r="AV65" s="70">
        <f t="shared" si="86"/>
        <v>1.3458683383241299</v>
      </c>
      <c r="AW65" s="70">
        <f t="shared" si="86"/>
        <v>1.3727857050906125</v>
      </c>
      <c r="AX65" s="70">
        <f t="shared" si="86"/>
        <v>1.4002414191924248</v>
      </c>
      <c r="AY65" s="70">
        <f t="shared" si="86"/>
        <v>1.4282462475762734</v>
      </c>
      <c r="AZ65" s="70">
        <f t="shared" si="86"/>
        <v>1.4568111725277988</v>
      </c>
      <c r="BA65" s="70">
        <f t="shared" si="86"/>
        <v>1.4859473959783549</v>
      </c>
      <c r="BB65" s="70">
        <f t="shared" si="86"/>
        <v>1.5156663438979221</v>
      </c>
      <c r="BC65" s="70">
        <f t="shared" si="86"/>
        <v>1.5459796707758806</v>
      </c>
      <c r="BD65" s="70">
        <f t="shared" si="86"/>
        <v>1.5768992641913981</v>
      </c>
      <c r="BE65" s="70">
        <f t="shared" si="86"/>
        <v>1.6084372494752261</v>
      </c>
      <c r="BF65" s="70">
        <f t="shared" si="86"/>
        <v>1.6406059944647307</v>
      </c>
      <c r="BG65" s="70">
        <f t="shared" si="86"/>
        <v>1.6734181143540252</v>
      </c>
      <c r="BH65" s="70">
        <f t="shared" si="86"/>
        <v>1.7068864766411058</v>
      </c>
      <c r="BI65" s="70">
        <f t="shared" si="86"/>
        <v>1.7410242061739281</v>
      </c>
      <c r="BJ65" s="70">
        <f t="shared" si="86"/>
        <v>1.7758446902974065</v>
      </c>
      <c r="BK65" s="70">
        <f t="shared" si="86"/>
        <v>1.8113615841033548</v>
      </c>
      <c r="BL65" s="70">
        <f t="shared" si="86"/>
        <v>1.8475888157854219</v>
      </c>
      <c r="BM65" s="70">
        <f t="shared" si="86"/>
        <v>1.8845405921011305</v>
      </c>
      <c r="BN65" s="70">
        <f t="shared" si="86"/>
        <v>1.9222314039431532</v>
      </c>
      <c r="BO65" s="70">
        <f t="shared" si="86"/>
        <v>1.9606760320220162</v>
      </c>
      <c r="BP65" s="70">
        <f t="shared" si="86"/>
        <v>1.9998895526624565</v>
      </c>
      <c r="BQ65" s="70">
        <f t="shared" si="86"/>
        <v>2.0398873437157055</v>
      </c>
      <c r="BR65" s="70">
        <f t="shared" si="86"/>
        <v>2.0806850905900198</v>
      </c>
      <c r="BS65" s="70">
        <f t="shared" si="86"/>
        <v>2.1222987924018204</v>
      </c>
      <c r="BT65" s="70">
        <f t="shared" si="86"/>
        <v>2.1647447682498568</v>
      </c>
      <c r="BU65" s="70">
        <f t="shared" si="86"/>
        <v>2.208039663614854</v>
      </c>
      <c r="BV65" s="70">
        <f t="shared" si="86"/>
        <v>2.252200456887151</v>
      </c>
      <c r="BW65" s="70">
        <f t="shared" si="86"/>
        <v>2.2972444660248938</v>
      </c>
    </row>
    <row r="66" spans="1:75" x14ac:dyDescent="0.3">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row>
    <row r="67" spans="1:75" x14ac:dyDescent="0.3">
      <c r="A67" s="4" t="s">
        <v>70</v>
      </c>
      <c r="B67" s="4"/>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61">
        <f t="shared" ref="AG67:BW67" ca="1" si="87">IFERROR(AG73/AG59*1000,0)</f>
        <v>1.7468071718599549</v>
      </c>
      <c r="AH67" s="61">
        <f t="shared" ca="1" si="87"/>
        <v>1.7751656419827564</v>
      </c>
      <c r="AI67" s="61">
        <f t="shared" ca="1" si="87"/>
        <v>1.7868069915642766</v>
      </c>
      <c r="AJ67" s="61">
        <f t="shared" ca="1" si="87"/>
        <v>1.8219171124538713</v>
      </c>
      <c r="AK67" s="61">
        <f t="shared" ca="1" si="87"/>
        <v>1.8571285027644902</v>
      </c>
      <c r="AL67" s="61">
        <f t="shared" ca="1" si="87"/>
        <v>1.903845144691219</v>
      </c>
      <c r="AM67" s="61">
        <f t="shared" ca="1" si="87"/>
        <v>1.9317693483657312</v>
      </c>
      <c r="AN67" s="61">
        <f t="shared" ca="1" si="87"/>
        <v>1.9711814732578927</v>
      </c>
      <c r="AO67" s="61">
        <f t="shared" ca="1" si="87"/>
        <v>1.9981837700218901</v>
      </c>
      <c r="AP67" s="61">
        <f t="shared" ca="1" si="87"/>
        <v>2.0435508871439727</v>
      </c>
      <c r="AQ67" s="61">
        <f t="shared" ca="1" si="87"/>
        <v>2.0815802184060872</v>
      </c>
      <c r="AR67" s="61">
        <f t="shared" ca="1" si="87"/>
        <v>2.1363644549004244</v>
      </c>
      <c r="AS67" s="61">
        <f t="shared" ca="1" si="87"/>
        <v>2.1773339014845536</v>
      </c>
      <c r="AT67" s="61">
        <f t="shared" ca="1" si="87"/>
        <v>2.2430447641388231</v>
      </c>
      <c r="AU67" s="61">
        <f t="shared" ca="1" si="87"/>
        <v>2.2989089715121338</v>
      </c>
      <c r="AV67" s="61">
        <f t="shared" ca="1" si="87"/>
        <v>2.1844079118550974</v>
      </c>
      <c r="AW67" s="61">
        <f t="shared" ca="1" si="87"/>
        <v>0</v>
      </c>
      <c r="AX67" s="61">
        <f t="shared" ca="1" si="87"/>
        <v>0</v>
      </c>
      <c r="AY67" s="61">
        <f t="shared" ca="1" si="87"/>
        <v>0</v>
      </c>
      <c r="AZ67" s="61">
        <f t="shared" ca="1" si="87"/>
        <v>0</v>
      </c>
      <c r="BA67" s="61">
        <f t="shared" ca="1" si="87"/>
        <v>0</v>
      </c>
      <c r="BB67" s="61">
        <f t="shared" ca="1" si="87"/>
        <v>0</v>
      </c>
      <c r="BC67" s="61">
        <f t="shared" ca="1" si="87"/>
        <v>0</v>
      </c>
      <c r="BD67" s="61">
        <f t="shared" ca="1" si="87"/>
        <v>0</v>
      </c>
      <c r="BE67" s="61">
        <f t="shared" ca="1" si="87"/>
        <v>0</v>
      </c>
      <c r="BF67" s="61">
        <f t="shared" ca="1" si="87"/>
        <v>0</v>
      </c>
      <c r="BG67" s="61">
        <f t="shared" ca="1" si="87"/>
        <v>0</v>
      </c>
      <c r="BH67" s="61">
        <f t="shared" ca="1" si="87"/>
        <v>0</v>
      </c>
      <c r="BI67" s="61">
        <f t="shared" ca="1" si="87"/>
        <v>0</v>
      </c>
      <c r="BJ67" s="61">
        <f t="shared" ca="1" si="87"/>
        <v>0</v>
      </c>
      <c r="BK67" s="61">
        <f t="shared" ca="1" si="87"/>
        <v>0</v>
      </c>
      <c r="BL67" s="61">
        <f t="shared" ca="1" si="87"/>
        <v>0</v>
      </c>
      <c r="BM67" s="61">
        <f t="shared" ca="1" si="87"/>
        <v>0</v>
      </c>
      <c r="BN67" s="61">
        <f t="shared" ca="1" si="87"/>
        <v>0</v>
      </c>
      <c r="BO67" s="61">
        <f t="shared" ca="1" si="87"/>
        <v>0</v>
      </c>
      <c r="BP67" s="61">
        <f t="shared" ca="1" si="87"/>
        <v>0</v>
      </c>
      <c r="BQ67" s="61">
        <f t="shared" ca="1" si="87"/>
        <v>0</v>
      </c>
      <c r="BR67" s="61">
        <f t="shared" ca="1" si="87"/>
        <v>0</v>
      </c>
      <c r="BS67" s="61">
        <f t="shared" ca="1" si="87"/>
        <v>0</v>
      </c>
      <c r="BT67" s="61">
        <f t="shared" ca="1" si="87"/>
        <v>0</v>
      </c>
      <c r="BU67" s="61">
        <f t="shared" ca="1" si="87"/>
        <v>0</v>
      </c>
      <c r="BV67" s="61">
        <f t="shared" ca="1" si="87"/>
        <v>0</v>
      </c>
      <c r="BW67" s="61">
        <f t="shared" ca="1" si="87"/>
        <v>0</v>
      </c>
    </row>
    <row r="68" spans="1:75" x14ac:dyDescent="0.3">
      <c r="A68" s="5" t="s">
        <v>66</v>
      </c>
      <c r="B68" s="5"/>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201">
        <f ca="1">SUMIFS(INDIRECT("'"&amp;$A68&amp;$B$3&amp;"'!"&amp;"$m:$m"),INDIRECT("'"&amp;$A68&amp;$B$3&amp;"'!"&amp;"$A:$A"),'Receita Líquida - O&amp;G'!AG$1)*(1/AG$56)/$AG$57*1000*AG$65</f>
        <v>1.7833482182500018</v>
      </c>
      <c r="AH68" s="201">
        <f ca="1">SUMIFS(INDIRECT("'"&amp;$A68&amp;$B$3&amp;"'!"&amp;"$m:$m"),INDIRECT("'"&amp;$A68&amp;$B$3&amp;"'!"&amp;"$A:$A"),'Receita Líquida - O&amp;G'!AH$1)*(1/AH$56)/$AG$57*1000*AH$65</f>
        <v>1.829234369034187</v>
      </c>
      <c r="AI68" s="201">
        <f ca="1">SUMIFS(INDIRECT("'"&amp;$A68&amp;$B$3&amp;"'!"&amp;"$m:$m"),INDIRECT("'"&amp;$A68&amp;$B$3&amp;"'!"&amp;"$A:$A"),'Receita Líquida - O&amp;G'!AI$1)*(1/AI$56)/$AG$57*1000*AI$65</f>
        <v>1.8553954862673019</v>
      </c>
      <c r="AJ68" s="201">
        <f ca="1">SUMIFS(INDIRECT("'"&amp;$A68&amp;$B$3&amp;"'!"&amp;"$m:$m"),INDIRECT("'"&amp;$A68&amp;$B$3&amp;"'!"&amp;"$A:$A"),'Receita Líquida - O&amp;G'!AJ$1)*(1/AJ$56)/$AG$57*1000*AJ$65</f>
        <v>1.9031354375431682</v>
      </c>
      <c r="AK68" s="201">
        <f ca="1">SUMIFS(INDIRECT("'"&amp;$A68&amp;$B$3&amp;"'!"&amp;"$m:$m"),INDIRECT("'"&amp;$A68&amp;$B$3&amp;"'!"&amp;"$A:$A"),'Receita Líquida - O&amp;G'!AK$1)*(1/AK$56)/$AG$57*1000*AK$65</f>
        <v>1.9303534639125008</v>
      </c>
      <c r="AL68" s="201">
        <f ca="1">SUMIFS(INDIRECT("'"&amp;$A68&amp;$B$3&amp;"'!"&amp;"$m:$m"),INDIRECT("'"&amp;$A68&amp;$B$3&amp;"'!"&amp;"$A:$A"),'Receita Líquida - O&amp;G'!AL$1)*(1/AL$56)/$AG$57*1000*AL$65</f>
        <v>1.9800221092199122</v>
      </c>
      <c r="AM68" s="201">
        <f ca="1">SUMIFS(INDIRECT("'"&amp;$A68&amp;$B$3&amp;"'!"&amp;"$m:$m"),INDIRECT("'"&amp;$A68&amp;$B$3&amp;"'!"&amp;"$A:$A"),'Receita Líquida - O&amp;G'!AM$1)*(1/AM$56)/$AG$57*1000*AM$65</f>
        <v>2.0083397438545658</v>
      </c>
      <c r="AN68" s="201">
        <f ca="1">SUMIFS(INDIRECT("'"&amp;$A68&amp;$B$3&amp;"'!"&amp;"$m:$m"),INDIRECT("'"&amp;$A68&amp;$B$3&amp;"'!"&amp;"$A:$A"),'Receita Líquida - O&amp;G'!AN$1)*(1/AN$56)/$AG$57*1000*AN$65</f>
        <v>2.0600150024323969</v>
      </c>
      <c r="AO68" s="201">
        <f ca="1">SUMIFS(INDIRECT("'"&amp;$A68&amp;$B$3&amp;"'!"&amp;"$m:$m"),INDIRECT("'"&amp;$A68&amp;$B$3&amp;"'!"&amp;"$A:$A"),'Receita Líquida - O&amp;G'!AO$1)*(1/AO$56)/$AG$57*1000*AO$65</f>
        <v>2.0894766695062907</v>
      </c>
      <c r="AP68" s="201">
        <f ca="1">SUMIFS(INDIRECT("'"&amp;$A68&amp;$B$3&amp;"'!"&amp;"$m:$m"),INDIRECT("'"&amp;$A68&amp;$B$3&amp;"'!"&amp;"$A:$A"),'Receita Líquida - O&amp;G'!AP$1)*(1/AP$56)/$AG$57*1000*AP$65</f>
        <v>2.1432396085306658</v>
      </c>
      <c r="AQ68" s="201">
        <f ca="1">SUMIFS(INDIRECT("'"&amp;$A68&amp;$B$3&amp;"'!"&amp;"$m:$m"),INDIRECT("'"&amp;$A68&amp;$B$3&amp;"'!"&amp;"$A:$A"),'Receita Líquida - O&amp;G'!AQ$1)*(1/AQ$56)/$AG$57*1000*AQ$65</f>
        <v>2.1738915269543448</v>
      </c>
      <c r="AR68" s="201">
        <f ca="1">SUMIFS(INDIRECT("'"&amp;$A68&amp;$B$3&amp;"'!"&amp;"$m:$m"),INDIRECT("'"&amp;$A68&amp;$B$3&amp;"'!"&amp;"$A:$A"),'Receita Líquida - O&amp;G'!AR$1)*(1/AR$56)/$AG$57*1000*AR$65</f>
        <v>2.2298264887153048</v>
      </c>
      <c r="AS68" s="201">
        <f ca="1">SUMIFS(INDIRECT("'"&amp;$A68&amp;$B$3&amp;"'!"&amp;"$m:$m"),INDIRECT("'"&amp;$A68&amp;$B$3&amp;"'!"&amp;"$A:$A"),'Receita Líquida - O&amp;G'!AS$1)*(1/AS$56)/$AG$57*1000*AS$65</f>
        <v>2.2617167446433002</v>
      </c>
      <c r="AT68" s="201">
        <f ca="1">SUMIFS(INDIRECT("'"&amp;$A68&amp;$B$3&amp;"'!"&amp;"$m:$m"),INDIRECT("'"&amp;$A68&amp;$B$3&amp;"'!"&amp;"$A:$A"),'Receita Líquida - O&amp;G'!AT$1)*(1/AT$56)/$AG$57*1000*AT$65</f>
        <v>2.3199114788594026</v>
      </c>
      <c r="AU68" s="201">
        <f ca="1">SUMIFS(INDIRECT("'"&amp;$A68&amp;$B$3&amp;"'!"&amp;"$m:$m"),INDIRECT("'"&amp;$A68&amp;$B$3&amp;"'!"&amp;"$A:$A"),'Receita Líquida - O&amp;G'!AU$1)*(1/AU$56)/$AG$57*1000*AU$65</f>
        <v>2.3530901011268899</v>
      </c>
      <c r="AV68" s="201">
        <f ca="1">SUMIFS(INDIRECT("'"&amp;$A68&amp;$B$3&amp;"'!"&amp;"$m:$m"),INDIRECT("'"&amp;$A68&amp;$B$3&amp;"'!"&amp;"$A:$A"),'Receita Líquida - O&amp;G'!AV$1)*(1/AV$56)/$AG$57*1000*AV$65</f>
        <v>2.4136359026053231</v>
      </c>
      <c r="AW68" s="201">
        <f ca="1">SUMIFS(INDIRECT("'"&amp;$A68&amp;$B$3&amp;"'!"&amp;"$m:$m"),INDIRECT("'"&amp;$A68&amp;$B$3&amp;"'!"&amp;"$A:$A"),'Receita Líquida - O&amp;G'!AW$1)*(1/AW$56)/$AG$57*1000*AW$65</f>
        <v>2.4481549412124162</v>
      </c>
      <c r="AX68" s="201">
        <f ca="1">SUMIFS(INDIRECT("'"&amp;$A68&amp;$B$3&amp;"'!"&amp;"$m:$m"),INDIRECT("'"&amp;$A68&amp;$B$3&amp;"'!"&amp;"$A:$A"),'Receita Líquida - O&amp;G'!AX$1)*(1/AX$56)/$AG$57*1000*AX$65</f>
        <v>2.5111467930705782</v>
      </c>
      <c r="AY68" s="201">
        <f ca="1">SUMIFS(INDIRECT("'"&amp;$A68&amp;$B$3&amp;"'!"&amp;"$m:$m"),INDIRECT("'"&amp;$A68&amp;$B$3&amp;"'!"&amp;"$A:$A"),'Receita Líquida - O&amp;G'!AY$1)*(1/AY$56)/$AG$57*1000*AY$65</f>
        <v>2.547060400837398</v>
      </c>
      <c r="AZ68" s="201">
        <f ca="1">SUMIFS(INDIRECT("'"&amp;$A68&amp;$B$3&amp;"'!"&amp;"$m:$m"),INDIRECT("'"&amp;$A68&amp;$B$3&amp;"'!"&amp;"$A:$A"),'Receita Líquida - O&amp;G'!AZ$1)*(1/AZ$56)/$AG$57*1000*AZ$65</f>
        <v>2.6125971235106298</v>
      </c>
      <c r="BA68" s="201">
        <f ca="1">SUMIFS(INDIRECT("'"&amp;$A68&amp;$B$3&amp;"'!"&amp;"$m:$m"),INDIRECT("'"&amp;$A68&amp;$B$3&amp;"'!"&amp;"$A:$A"),'Receita Líquida - O&amp;G'!BA$1)*(1/BA$56)/$AG$57*1000*BA$65</f>
        <v>2.6499616410312292</v>
      </c>
      <c r="BB68" s="201">
        <f ca="1">SUMIFS(INDIRECT("'"&amp;$A68&amp;$B$3&amp;"'!"&amp;"$m:$m"),INDIRECT("'"&amp;$A68&amp;$B$3&amp;"'!"&amp;"$A:$A"),'Receita Líquida - O&amp;G'!BB$1)*(1/BB$56)/$AG$57*1000*BB$65</f>
        <v>2.7181460473004595</v>
      </c>
      <c r="BC68" s="201">
        <f ca="1">SUMIFS(INDIRECT("'"&amp;$A68&amp;$B$3&amp;"'!"&amp;"$m:$m"),INDIRECT("'"&amp;$A68&amp;$B$3&amp;"'!"&amp;"$A:$A"),'Receita Líquida - O&amp;G'!BC$1)*(1/BC$56)/$AG$57*1000*BC$65</f>
        <v>2.7570200913288909</v>
      </c>
      <c r="BD68" s="201">
        <f ca="1">SUMIFS(INDIRECT("'"&amp;$A68&amp;$B$3&amp;"'!"&amp;"$m:$m"),INDIRECT("'"&amp;$A68&amp;$B$3&amp;"'!"&amp;"$A:$A"),'Receita Líquida - O&amp;G'!BD$1)*(1/BD$56)/$AG$57*1000*BD$65</f>
        <v>2.8279591476113981</v>
      </c>
      <c r="BE68" s="201">
        <f ca="1">SUMIFS(INDIRECT("'"&amp;$A68&amp;$B$3&amp;"'!"&amp;"$m:$m"),INDIRECT("'"&amp;$A68&amp;$B$3&amp;"'!"&amp;"$A:$A"),'Receita Líquida - O&amp;G'!BE$1)*(1/BE$56)/$AG$57*1000*BE$65</f>
        <v>2.8684037030185783</v>
      </c>
      <c r="BF68" s="201">
        <f ca="1">SUMIFS(INDIRECT("'"&amp;$A68&amp;$B$3&amp;"'!"&amp;"$m:$m"),INDIRECT("'"&amp;$A68&amp;$B$3&amp;"'!"&amp;"$A:$A"),'Receita Líquida - O&amp;G'!BF$1)*(1/BF$56)/$AG$57*1000*BF$65</f>
        <v>2.9422086971748986</v>
      </c>
      <c r="BG68" s="201">
        <f ca="1">SUMIFS(INDIRECT("'"&amp;$A68&amp;$B$3&amp;"'!"&amp;"$m:$m"),INDIRECT("'"&amp;$A68&amp;$B$3&amp;"'!"&amp;"$A:$A"),'Receita Líquida - O&amp;G'!BG$1)*(1/BG$56)/$AG$57*1000*BG$65</f>
        <v>2.9842872126205284</v>
      </c>
      <c r="BH68" s="201">
        <f ca="1">SUMIFS(INDIRECT("'"&amp;$A68&amp;$B$3&amp;"'!"&amp;"$m:$m"),INDIRECT("'"&amp;$A68&amp;$B$3&amp;"'!"&amp;"$A:$A"),'Receita Líquida - O&amp;G'!BH$1)*(1/BH$56)/$AG$57*1000*BH$65</f>
        <v>3.0439729568729392</v>
      </c>
      <c r="BI68" s="201">
        <f ca="1">SUMIFS(INDIRECT("'"&amp;$A68&amp;$B$3&amp;"'!"&amp;"$m:$m"),INDIRECT("'"&amp;$A68&amp;$B$3&amp;"'!"&amp;"$A:$A"),'Receita Líquida - O&amp;G'!BI$1)*(1/BI$56)/$AG$57*1000*BI$65</f>
        <v>3.1222954071115803</v>
      </c>
      <c r="BJ68" s="201">
        <f ca="1">SUMIFS(INDIRECT("'"&amp;$A68&amp;$B$3&amp;"'!"&amp;"$m:$m"),INDIRECT("'"&amp;$A68&amp;$B$3&amp;"'!"&amp;"$A:$A"),'Receita Líquida - O&amp;G'!BJ$1)*(1/BJ$56)/$AG$57*1000*BJ$65</f>
        <v>0</v>
      </c>
      <c r="BK68" s="201">
        <f ca="1">SUMIFS(INDIRECT("'"&amp;$A68&amp;$B$3&amp;"'!"&amp;"$m:$m"),INDIRECT("'"&amp;$A68&amp;$B$3&amp;"'!"&amp;"$A:$A"),'Receita Líquida - O&amp;G'!BK$1)*(1/BK$56)/$AG$57*1000*BK$65</f>
        <v>0</v>
      </c>
      <c r="BL68" s="201">
        <f ca="1">SUMIFS(INDIRECT("'"&amp;$A68&amp;$B$3&amp;"'!"&amp;"$m:$m"),INDIRECT("'"&amp;$A68&amp;$B$3&amp;"'!"&amp;"$A:$A"),'Receita Líquida - O&amp;G'!BL$1)*(1/BL$56)/$AG$57*1000*BL$65</f>
        <v>0</v>
      </c>
      <c r="BM68" s="201">
        <f ca="1">SUMIFS(INDIRECT("'"&amp;$A68&amp;$B$3&amp;"'!"&amp;"$m:$m"),INDIRECT("'"&amp;$A68&amp;$B$3&amp;"'!"&amp;"$A:$A"),'Receita Líquida - O&amp;G'!BM$1)*(1/BM$56)/$AG$57*1000*BM$65</f>
        <v>0</v>
      </c>
      <c r="BN68" s="201">
        <f ca="1">SUMIFS(INDIRECT("'"&amp;$A68&amp;$B$3&amp;"'!"&amp;"$m:$m"),INDIRECT("'"&amp;$A68&amp;$B$3&amp;"'!"&amp;"$A:$A"),'Receita Líquida - O&amp;G'!BN$1)*(1/BN$56)/$AG$57*1000*BN$65</f>
        <v>0</v>
      </c>
      <c r="BO68" s="201">
        <f ca="1">SUMIFS(INDIRECT("'"&amp;$A68&amp;$B$3&amp;"'!"&amp;"$m:$m"),INDIRECT("'"&amp;$A68&amp;$B$3&amp;"'!"&amp;"$A:$A"),'Receita Líquida - O&amp;G'!BO$1)*(1/BO$56)/$AG$57*1000*BO$65</f>
        <v>0</v>
      </c>
      <c r="BP68" s="201">
        <f ca="1">SUMIFS(INDIRECT("'"&amp;$A68&amp;$B$3&amp;"'!"&amp;"$m:$m"),INDIRECT("'"&amp;$A68&amp;$B$3&amp;"'!"&amp;"$A:$A"),'Receita Líquida - O&amp;G'!BP$1)*(1/BP$56)/$AG$57*1000*BP$65</f>
        <v>0</v>
      </c>
      <c r="BQ68" s="201">
        <f ca="1">SUMIFS(INDIRECT("'"&amp;$A68&amp;$B$3&amp;"'!"&amp;"$m:$m"),INDIRECT("'"&amp;$A68&amp;$B$3&amp;"'!"&amp;"$A:$A"),'Receita Líquida - O&amp;G'!BQ$1)*(1/BQ$56)/$AG$57*1000*BQ$65</f>
        <v>0</v>
      </c>
      <c r="BR68" s="201">
        <f ca="1">SUMIFS(INDIRECT("'"&amp;$A68&amp;$B$3&amp;"'!"&amp;"$m:$m"),INDIRECT("'"&amp;$A68&amp;$B$3&amp;"'!"&amp;"$A:$A"),'Receita Líquida - O&amp;G'!BR$1)*(1/BR$56)/$AG$57*1000*BR$65</f>
        <v>0</v>
      </c>
      <c r="BS68" s="201">
        <f ca="1">SUMIFS(INDIRECT("'"&amp;$A68&amp;$B$3&amp;"'!"&amp;"$m:$m"),INDIRECT("'"&amp;$A68&amp;$B$3&amp;"'!"&amp;"$A:$A"),'Receita Líquida - O&amp;G'!BS$1)*(1/BS$56)/$AG$57*1000*BS$65</f>
        <v>0</v>
      </c>
      <c r="BT68" s="201">
        <f ca="1">SUMIFS(INDIRECT("'"&amp;$A68&amp;$B$3&amp;"'!"&amp;"$m:$m"),INDIRECT("'"&amp;$A68&amp;$B$3&amp;"'!"&amp;"$A:$A"),'Receita Líquida - O&amp;G'!BT$1)*(1/BT$56)/$AG$57*1000*BT$65</f>
        <v>0</v>
      </c>
      <c r="BU68" s="201">
        <f ca="1">SUMIFS(INDIRECT("'"&amp;$A68&amp;$B$3&amp;"'!"&amp;"$m:$m"),INDIRECT("'"&amp;$A68&amp;$B$3&amp;"'!"&amp;"$A:$A"),'Receita Líquida - O&amp;G'!BU$1)*(1/BU$56)/$AG$57*1000*BU$65</f>
        <v>0</v>
      </c>
      <c r="BV68" s="201">
        <f ca="1">SUMIFS(INDIRECT("'"&amp;$A68&amp;$B$3&amp;"'!"&amp;"$m:$m"),INDIRECT("'"&amp;$A68&amp;$B$3&amp;"'!"&amp;"$A:$A"),'Receita Líquida - O&amp;G'!BV$1)*(1/BV$56)/$AG$57*1000*BV$65</f>
        <v>0</v>
      </c>
      <c r="BW68" s="201">
        <f ca="1">SUMIFS(INDIRECT("'"&amp;$A68&amp;$B$3&amp;"'!"&amp;"$m:$m"),INDIRECT("'"&amp;$A68&amp;$B$3&amp;"'!"&amp;"$A:$A"),'Receita Líquida - O&amp;G'!BW$1)*(1/BW$56)/$AG$57*1000*BW$65</f>
        <v>0</v>
      </c>
    </row>
    <row r="69" spans="1:75" x14ac:dyDescent="0.3">
      <c r="A69" s="5" t="s">
        <v>67</v>
      </c>
      <c r="B69" s="5"/>
      <c r="C69" s="72"/>
      <c r="D69" s="72"/>
      <c r="E69" s="72"/>
      <c r="F69" s="72"/>
      <c r="G69" s="72"/>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row>
    <row r="70" spans="1:75" x14ac:dyDescent="0.3">
      <c r="A70" s="5" t="s">
        <v>69</v>
      </c>
      <c r="B70" s="5"/>
      <c r="C70" s="72"/>
      <c r="D70" s="72"/>
      <c r="E70" s="72"/>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201">
        <f ca="1">SUMIFS(INDIRECT("'"&amp;$A70&amp;$B$3&amp;"'!"&amp;"$m:$m"),INDIRECT("'"&amp;$A70&amp;$B$3&amp;"'!"&amp;"$A:$A"),'Receita Líquida - O&amp;G'!AG$1)*(1/AG$56)/$AG$57*1000*AG$65</f>
        <v>0</v>
      </c>
      <c r="AH70" s="201">
        <f ca="1">SUMIFS(INDIRECT("'"&amp;$A70&amp;$B$3&amp;"'!"&amp;"$m:$m"),INDIRECT("'"&amp;$A70&amp;$B$3&amp;"'!"&amp;"$A:$A"),'Receita Líquida - O&amp;G'!AH$1)*(1/AH$56)/$AG$57*1000*AH$65</f>
        <v>0</v>
      </c>
      <c r="AI70" s="201">
        <f ca="1">SUMIFS(INDIRECT("'"&amp;$A70&amp;$B$3&amp;"'!"&amp;"$m:$m"),INDIRECT("'"&amp;$A70&amp;$B$3&amp;"'!"&amp;"$A:$A"),'Receita Líquida - O&amp;G'!AI$1)*(1/AI$56)/$AG$57*1000*AI$65</f>
        <v>0</v>
      </c>
      <c r="AJ70" s="201">
        <f ca="1">SUMIFS(INDIRECT("'"&amp;$A70&amp;$B$3&amp;"'!"&amp;"$m:$m"),INDIRECT("'"&amp;$A70&amp;$B$3&amp;"'!"&amp;"$A:$A"),'Receita Líquida - O&amp;G'!AJ$1)*(1/AJ$56)/$AG$57*1000*AJ$65</f>
        <v>0</v>
      </c>
      <c r="AK70" s="201">
        <f ca="1">SUMIFS(INDIRECT("'"&amp;$A70&amp;$B$3&amp;"'!"&amp;"$m:$m"),INDIRECT("'"&amp;$A70&amp;$B$3&amp;"'!"&amp;"$A:$A"),'Receita Líquida - O&amp;G'!AK$1)*(1/AK$56)/$AG$57*1000*AK$65</f>
        <v>0</v>
      </c>
      <c r="AL70" s="201">
        <f ca="1">SUMIFS(INDIRECT("'"&amp;$A70&amp;$B$3&amp;"'!"&amp;"$m:$m"),INDIRECT("'"&amp;$A70&amp;$B$3&amp;"'!"&amp;"$A:$A"),'Receita Líquida - O&amp;G'!AL$1)*(1/AL$56)/$AG$57*1000*AL$65</f>
        <v>0</v>
      </c>
      <c r="AM70" s="201">
        <f ca="1">SUMIFS(INDIRECT("'"&amp;$A70&amp;$B$3&amp;"'!"&amp;"$m:$m"),INDIRECT("'"&amp;$A70&amp;$B$3&amp;"'!"&amp;"$A:$A"),'Receita Líquida - O&amp;G'!AM$1)*(1/AM$56)/$AG$57*1000*AM$65</f>
        <v>0</v>
      </c>
      <c r="AN70" s="201">
        <f ca="1">SUMIFS(INDIRECT("'"&amp;$A70&amp;$B$3&amp;"'!"&amp;"$m:$m"),INDIRECT("'"&amp;$A70&amp;$B$3&amp;"'!"&amp;"$A:$A"),'Receita Líquida - O&amp;G'!AN$1)*(1/AN$56)/$AG$57*1000*AN$65</f>
        <v>0</v>
      </c>
      <c r="AO70" s="201">
        <f ca="1">SUMIFS(INDIRECT("'"&amp;$A70&amp;$B$3&amp;"'!"&amp;"$m:$m"),INDIRECT("'"&amp;$A70&amp;$B$3&amp;"'!"&amp;"$A:$A"),'Receita Líquida - O&amp;G'!AO$1)*(1/AO$56)/$AG$57*1000*AO$65</f>
        <v>0</v>
      </c>
      <c r="AP70" s="201">
        <f ca="1">SUMIFS(INDIRECT("'"&amp;$A70&amp;$B$3&amp;"'!"&amp;"$m:$m"),INDIRECT("'"&amp;$A70&amp;$B$3&amp;"'!"&amp;"$A:$A"),'Receita Líquida - O&amp;G'!AP$1)*(1/AP$56)/$AG$57*1000*AP$65</f>
        <v>0</v>
      </c>
      <c r="AQ70" s="201">
        <f ca="1">SUMIFS(INDIRECT("'"&amp;$A70&amp;$B$3&amp;"'!"&amp;"$m:$m"),INDIRECT("'"&amp;$A70&amp;$B$3&amp;"'!"&amp;"$A:$A"),'Receita Líquida - O&amp;G'!AQ$1)*(1/AQ$56)/$AG$57*1000*AQ$65</f>
        <v>0</v>
      </c>
      <c r="AR70" s="201">
        <f ca="1">SUMIFS(INDIRECT("'"&amp;$A70&amp;$B$3&amp;"'!"&amp;"$m:$m"),INDIRECT("'"&amp;$A70&amp;$B$3&amp;"'!"&amp;"$A:$A"),'Receita Líquida - O&amp;G'!AR$1)*(1/AR$56)/$AG$57*1000*AR$65</f>
        <v>0</v>
      </c>
      <c r="AS70" s="201">
        <f ca="1">SUMIFS(INDIRECT("'"&amp;$A70&amp;$B$3&amp;"'!"&amp;"$m:$m"),INDIRECT("'"&amp;$A70&amp;$B$3&amp;"'!"&amp;"$A:$A"),'Receita Líquida - O&amp;G'!AS$1)*(1/AS$56)/$AG$57*1000*AS$65</f>
        <v>0</v>
      </c>
      <c r="AT70" s="201">
        <f ca="1">SUMIFS(INDIRECT("'"&amp;$A70&amp;$B$3&amp;"'!"&amp;"$m:$m"),INDIRECT("'"&amp;$A70&amp;$B$3&amp;"'!"&amp;"$A:$A"),'Receita Líquida - O&amp;G'!AT$1)*(1/AT$56)/$AG$57*1000*AT$65</f>
        <v>0</v>
      </c>
      <c r="AU70" s="201">
        <f ca="1">SUMIFS(INDIRECT("'"&amp;$A70&amp;$B$3&amp;"'!"&amp;"$m:$m"),INDIRECT("'"&amp;$A70&amp;$B$3&amp;"'!"&amp;"$A:$A"),'Receita Líquida - O&amp;G'!AU$1)*(1/AU$56)/$AG$57*1000*AU$65</f>
        <v>0</v>
      </c>
      <c r="AV70" s="201">
        <f ca="1">SUMIFS(INDIRECT("'"&amp;$A70&amp;$B$3&amp;"'!"&amp;"$m:$m"),INDIRECT("'"&amp;$A70&amp;$B$3&amp;"'!"&amp;"$A:$A"),'Receita Líquida - O&amp;G'!AV$1)*(1/AV$56)/$AG$57*1000*AV$65</f>
        <v>0</v>
      </c>
      <c r="AW70" s="201">
        <f ca="1">SUMIFS(INDIRECT("'"&amp;$A70&amp;$B$3&amp;"'!"&amp;"$m:$m"),INDIRECT("'"&amp;$A70&amp;$B$3&amp;"'!"&amp;"$A:$A"),'Receita Líquida - O&amp;G'!AW$1)*(1/AW$56)/$AG$57*1000*AW$65</f>
        <v>0</v>
      </c>
      <c r="AX70" s="201">
        <f ca="1">SUMIFS(INDIRECT("'"&amp;$A70&amp;$B$3&amp;"'!"&amp;"$m:$m"),INDIRECT("'"&amp;$A70&amp;$B$3&amp;"'!"&amp;"$A:$A"),'Receita Líquida - O&amp;G'!AX$1)*(1/AX$56)/$AG$57*1000*AX$65</f>
        <v>0</v>
      </c>
      <c r="AY70" s="201">
        <f ca="1">SUMIFS(INDIRECT("'"&amp;$A70&amp;$B$3&amp;"'!"&amp;"$m:$m"),INDIRECT("'"&amp;$A70&amp;$B$3&amp;"'!"&amp;"$A:$A"),'Receita Líquida - O&amp;G'!AY$1)*(1/AY$56)/$AG$57*1000*AY$65</f>
        <v>0</v>
      </c>
      <c r="AZ70" s="201">
        <f ca="1">SUMIFS(INDIRECT("'"&amp;$A70&amp;$B$3&amp;"'!"&amp;"$m:$m"),INDIRECT("'"&amp;$A70&amp;$B$3&amp;"'!"&amp;"$A:$A"),'Receita Líquida - O&amp;G'!AZ$1)*(1/AZ$56)/$AG$57*1000*AZ$65</f>
        <v>0</v>
      </c>
      <c r="BA70" s="201">
        <f ca="1">SUMIFS(INDIRECT("'"&amp;$A70&amp;$B$3&amp;"'!"&amp;"$m:$m"),INDIRECT("'"&amp;$A70&amp;$B$3&amp;"'!"&amp;"$A:$A"),'Receita Líquida - O&amp;G'!BA$1)*(1/BA$56)/$AG$57*1000*BA$65</f>
        <v>0</v>
      </c>
      <c r="BB70" s="201">
        <f ca="1">SUMIFS(INDIRECT("'"&amp;$A70&amp;$B$3&amp;"'!"&amp;"$m:$m"),INDIRECT("'"&amp;$A70&amp;$B$3&amp;"'!"&amp;"$A:$A"),'Receita Líquida - O&amp;G'!BB$1)*(1/BB$56)/$AG$57*1000*BB$65</f>
        <v>0</v>
      </c>
      <c r="BC70" s="201">
        <f ca="1">SUMIFS(INDIRECT("'"&amp;$A70&amp;$B$3&amp;"'!"&amp;"$m:$m"),INDIRECT("'"&amp;$A70&amp;$B$3&amp;"'!"&amp;"$A:$A"),'Receita Líquida - O&amp;G'!BC$1)*(1/BC$56)/$AG$57*1000*BC$65</f>
        <v>0</v>
      </c>
      <c r="BD70" s="201">
        <f ca="1">SUMIFS(INDIRECT("'"&amp;$A70&amp;$B$3&amp;"'!"&amp;"$m:$m"),INDIRECT("'"&amp;$A70&amp;$B$3&amp;"'!"&amp;"$A:$A"),'Receita Líquida - O&amp;G'!BD$1)*(1/BD$56)/$AG$57*1000*BD$65</f>
        <v>0</v>
      </c>
      <c r="BE70" s="201">
        <f ca="1">SUMIFS(INDIRECT("'"&amp;$A70&amp;$B$3&amp;"'!"&amp;"$m:$m"),INDIRECT("'"&amp;$A70&amp;$B$3&amp;"'!"&amp;"$A:$A"),'Receita Líquida - O&amp;G'!BE$1)*(1/BE$56)/$AG$57*1000*BE$65</f>
        <v>0</v>
      </c>
      <c r="BF70" s="201">
        <f ca="1">SUMIFS(INDIRECT("'"&amp;$A70&amp;$B$3&amp;"'!"&amp;"$m:$m"),INDIRECT("'"&amp;$A70&amp;$B$3&amp;"'!"&amp;"$A:$A"),'Receita Líquida - O&amp;G'!BF$1)*(1/BF$56)/$AG$57*1000*BF$65</f>
        <v>0</v>
      </c>
      <c r="BG70" s="201">
        <f ca="1">SUMIFS(INDIRECT("'"&amp;$A70&amp;$B$3&amp;"'!"&amp;"$m:$m"),INDIRECT("'"&amp;$A70&amp;$B$3&amp;"'!"&amp;"$A:$A"),'Receita Líquida - O&amp;G'!BG$1)*(1/BG$56)/$AG$57*1000*BG$65</f>
        <v>0</v>
      </c>
      <c r="BH70" s="201">
        <f ca="1">SUMIFS(INDIRECT("'"&amp;$A70&amp;$B$3&amp;"'!"&amp;"$m:$m"),INDIRECT("'"&amp;$A70&amp;$B$3&amp;"'!"&amp;"$A:$A"),'Receita Líquida - O&amp;G'!BH$1)*(1/BH$56)/$AG$57*1000*BH$65</f>
        <v>0</v>
      </c>
      <c r="BI70" s="201">
        <f ca="1">SUMIFS(INDIRECT("'"&amp;$A70&amp;$B$3&amp;"'!"&amp;"$m:$m"),INDIRECT("'"&amp;$A70&amp;$B$3&amp;"'!"&amp;"$A:$A"),'Receita Líquida - O&amp;G'!BI$1)*(1/BI$56)/$AG$57*1000*BI$65</f>
        <v>0</v>
      </c>
      <c r="BJ70" s="201">
        <f ca="1">SUMIFS(INDIRECT("'"&amp;$A70&amp;$B$3&amp;"'!"&amp;"$m:$m"),INDIRECT("'"&amp;$A70&amp;$B$3&amp;"'!"&amp;"$A:$A"),'Receita Líquida - O&amp;G'!BJ$1)*(1/BJ$56)/$AG$57*1000*BJ$65</f>
        <v>0</v>
      </c>
      <c r="BK70" s="201">
        <f ca="1">SUMIFS(INDIRECT("'"&amp;$A70&amp;$B$3&amp;"'!"&amp;"$m:$m"),INDIRECT("'"&amp;$A70&amp;$B$3&amp;"'!"&amp;"$A:$A"),'Receita Líquida - O&amp;G'!BK$1)*(1/BK$56)/$AG$57*1000*BK$65</f>
        <v>0</v>
      </c>
      <c r="BL70" s="201">
        <f ca="1">SUMIFS(INDIRECT("'"&amp;$A70&amp;$B$3&amp;"'!"&amp;"$m:$m"),INDIRECT("'"&amp;$A70&amp;$B$3&amp;"'!"&amp;"$A:$A"),'Receita Líquida - O&amp;G'!BL$1)*(1/BL$56)/$AG$57*1000*BL$65</f>
        <v>0</v>
      </c>
      <c r="BM70" s="201">
        <f ca="1">SUMIFS(INDIRECT("'"&amp;$A70&amp;$B$3&amp;"'!"&amp;"$m:$m"),INDIRECT("'"&amp;$A70&amp;$B$3&amp;"'!"&amp;"$A:$A"),'Receita Líquida - O&amp;G'!BM$1)*(1/BM$56)/$AG$57*1000*BM$65</f>
        <v>0</v>
      </c>
      <c r="BN70" s="201">
        <f ca="1">SUMIFS(INDIRECT("'"&amp;$A70&amp;$B$3&amp;"'!"&amp;"$m:$m"),INDIRECT("'"&amp;$A70&amp;$B$3&amp;"'!"&amp;"$A:$A"),'Receita Líquida - O&amp;G'!BN$1)*(1/BN$56)/$AG$57*1000*BN$65</f>
        <v>0</v>
      </c>
      <c r="BO70" s="201">
        <f ca="1">SUMIFS(INDIRECT("'"&amp;$A70&amp;$B$3&amp;"'!"&amp;"$m:$m"),INDIRECT("'"&amp;$A70&amp;$B$3&amp;"'!"&amp;"$A:$A"),'Receita Líquida - O&amp;G'!BO$1)*(1/BO$56)/$AG$57*1000*BO$65</f>
        <v>0</v>
      </c>
      <c r="BP70" s="201">
        <f ca="1">SUMIFS(INDIRECT("'"&amp;$A70&amp;$B$3&amp;"'!"&amp;"$m:$m"),INDIRECT("'"&amp;$A70&amp;$B$3&amp;"'!"&amp;"$A:$A"),'Receita Líquida - O&amp;G'!BP$1)*(1/BP$56)/$AG$57*1000*BP$65</f>
        <v>0</v>
      </c>
      <c r="BQ70" s="201">
        <f ca="1">SUMIFS(INDIRECT("'"&amp;$A70&amp;$B$3&amp;"'!"&amp;"$m:$m"),INDIRECT("'"&amp;$A70&amp;$B$3&amp;"'!"&amp;"$A:$A"),'Receita Líquida - O&amp;G'!BQ$1)*(1/BQ$56)/$AG$57*1000*BQ$65</f>
        <v>0</v>
      </c>
      <c r="BR70" s="201">
        <f ca="1">SUMIFS(INDIRECT("'"&amp;$A70&amp;$B$3&amp;"'!"&amp;"$m:$m"),INDIRECT("'"&amp;$A70&amp;$B$3&amp;"'!"&amp;"$A:$A"),'Receita Líquida - O&amp;G'!BR$1)*(1/BR$56)/$AG$57*1000*BR$65</f>
        <v>0</v>
      </c>
      <c r="BS70" s="201">
        <f ca="1">SUMIFS(INDIRECT("'"&amp;$A70&amp;$B$3&amp;"'!"&amp;"$m:$m"),INDIRECT("'"&amp;$A70&amp;$B$3&amp;"'!"&amp;"$A:$A"),'Receita Líquida - O&amp;G'!BS$1)*(1/BS$56)/$AG$57*1000*BS$65</f>
        <v>0</v>
      </c>
      <c r="BT70" s="201">
        <f ca="1">SUMIFS(INDIRECT("'"&amp;$A70&amp;$B$3&amp;"'!"&amp;"$m:$m"),INDIRECT("'"&amp;$A70&amp;$B$3&amp;"'!"&amp;"$A:$A"),'Receita Líquida - O&amp;G'!BT$1)*(1/BT$56)/$AG$57*1000*BT$65</f>
        <v>0</v>
      </c>
      <c r="BU70" s="201">
        <f ca="1">SUMIFS(INDIRECT("'"&amp;$A70&amp;$B$3&amp;"'!"&amp;"$m:$m"),INDIRECT("'"&amp;$A70&amp;$B$3&amp;"'!"&amp;"$A:$A"),'Receita Líquida - O&amp;G'!BU$1)*(1/BU$56)/$AG$57*1000*BU$65</f>
        <v>0</v>
      </c>
      <c r="BV70" s="201">
        <f ca="1">SUMIFS(INDIRECT("'"&amp;$A70&amp;$B$3&amp;"'!"&amp;"$m:$m"),INDIRECT("'"&amp;$A70&amp;$B$3&amp;"'!"&amp;"$A:$A"),'Receita Líquida - O&amp;G'!BV$1)*(1/BV$56)/$AG$57*1000*BV$65</f>
        <v>0</v>
      </c>
      <c r="BW70" s="201">
        <f ca="1">SUMIFS(INDIRECT("'"&amp;$A70&amp;$B$3&amp;"'!"&amp;"$m:$m"),INDIRECT("'"&amp;$A70&amp;$B$3&amp;"'!"&amp;"$A:$A"),'Receita Líquida - O&amp;G'!BW$1)*(1/BW$56)/$AG$57*1000*BW$65</f>
        <v>0</v>
      </c>
    </row>
    <row r="71" spans="1:75" x14ac:dyDescent="0.3">
      <c r="A71" s="5" t="s">
        <v>68</v>
      </c>
      <c r="B71" s="5"/>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201">
        <f ca="1">SUMIFS(INDIRECT("'"&amp;$A71&amp;$B$3&amp;"'!"&amp;"$m:$m"),INDIRECT("'"&amp;$A71&amp;$B$3&amp;"'!"&amp;"$A:$A"),'Receita Líquida - O&amp;G'!AG$1)*(1/AG$56)/$AG$57*1000*AG$65</f>
        <v>1.6230472548117993</v>
      </c>
      <c r="AH71" s="201">
        <f ca="1">SUMIFS(INDIRECT("'"&amp;$A71&amp;$B$3&amp;"'!"&amp;"$m:$m"),INDIRECT("'"&amp;$A71&amp;$B$3&amp;"'!"&amp;"$A:$A"),'Receita Líquida - O&amp;G'!AH$1)*(1/AH$56)/$AG$57*1000*AH$65</f>
        <v>1.6555081999080354</v>
      </c>
      <c r="AI71" s="201">
        <f ca="1">SUMIFS(INDIRECT("'"&amp;$A71&amp;$B$3&amp;"'!"&amp;"$m:$m"),INDIRECT("'"&amp;$A71&amp;$B$3&amp;"'!"&amp;"$A:$A"),'Receita Líquida - O&amp;G'!AI$1)*(1/AI$56)/$AG$57*1000*AI$65</f>
        <v>1.688618363906196</v>
      </c>
      <c r="AJ71" s="201">
        <f ca="1">SUMIFS(INDIRECT("'"&amp;$A71&amp;$B$3&amp;"'!"&amp;"$m:$m"),INDIRECT("'"&amp;$A71&amp;$B$3&amp;"'!"&amp;"$A:$A"),'Receita Líquida - O&amp;G'!AJ$1)*(1/AJ$56)/$AG$57*1000*AJ$65</f>
        <v>1.7223907311843198</v>
      </c>
      <c r="AK71" s="201">
        <f ca="1">SUMIFS(INDIRECT("'"&amp;$A71&amp;$B$3&amp;"'!"&amp;"$m:$m"),INDIRECT("'"&amp;$A71&amp;$B$3&amp;"'!"&amp;"$A:$A"),'Receita Líquida - O&amp;G'!AK$1)*(1/AK$56)/$AG$57*1000*AK$65</f>
        <v>1.7568385458080062</v>
      </c>
      <c r="AL71" s="201">
        <f ca="1">SUMIFS(INDIRECT("'"&amp;$A71&amp;$B$3&amp;"'!"&amp;"$m:$m"),INDIRECT("'"&amp;$A71&amp;$B$3&amp;"'!"&amp;"$A:$A"),'Receita Líquida - O&amp;G'!AL$1)*(1/AL$56)/$AG$57*1000*AL$65</f>
        <v>1.7919753167241665</v>
      </c>
      <c r="AM71" s="201">
        <f ca="1">SUMIFS(INDIRECT("'"&amp;$A71&amp;$B$3&amp;"'!"&amp;"$m:$m"),INDIRECT("'"&amp;$A71&amp;$B$3&amp;"'!"&amp;"$A:$A"),'Receita Líquida - O&amp;G'!AM$1)*(1/AM$56)/$AG$57*1000*AM$65</f>
        <v>1.82781482305865</v>
      </c>
      <c r="AN71" s="201">
        <f ca="1">SUMIFS(INDIRECT("'"&amp;$A71&amp;$B$3&amp;"'!"&amp;"$m:$m"),INDIRECT("'"&amp;$A71&amp;$B$3&amp;"'!"&amp;"$A:$A"),'Receita Líquida - O&amp;G'!AN$1)*(1/AN$56)/$AG$57*1000*AN$65</f>
        <v>1.8643711195198229</v>
      </c>
      <c r="AO71" s="201">
        <f ca="1">SUMIFS(INDIRECT("'"&amp;$A71&amp;$B$3&amp;"'!"&amp;"$m:$m"),INDIRECT("'"&amp;$A71&amp;$B$3&amp;"'!"&amp;"$A:$A"),'Receita Líquida - O&amp;G'!AO$1)*(1/AO$56)/$AG$57*1000*AO$65</f>
        <v>1.9016585419102194</v>
      </c>
      <c r="AP71" s="201">
        <f ca="1">SUMIFS(INDIRECT("'"&amp;$A71&amp;$B$3&amp;"'!"&amp;"$m:$m"),INDIRECT("'"&amp;$A71&amp;$B$3&amp;"'!"&amp;"$A:$A"),'Receita Líquida - O&amp;G'!AP$1)*(1/AP$56)/$AG$57*1000*AP$65</f>
        <v>1.9396917127484239</v>
      </c>
      <c r="AQ71" s="201">
        <f ca="1">SUMIFS(INDIRECT("'"&amp;$A71&amp;$B$3&amp;"'!"&amp;"$m:$m"),INDIRECT("'"&amp;$A71&amp;$B$3&amp;"'!"&amp;"$A:$A"),'Receita Líquida - O&amp;G'!AQ$1)*(1/AQ$56)/$AG$57*1000*AQ$65</f>
        <v>1.9784855470033924</v>
      </c>
      <c r="AR71" s="201">
        <f ca="1">SUMIFS(INDIRECT("'"&amp;$A71&amp;$B$3&amp;"'!"&amp;"$m:$m"),INDIRECT("'"&amp;$A71&amp;$B$3&amp;"'!"&amp;"$A:$A"),'Receita Líquida - O&amp;G'!AR$1)*(1/AR$56)/$AG$57*1000*AR$65</f>
        <v>2.0180552579434603</v>
      </c>
      <c r="AS71" s="201">
        <f ca="1">SUMIFS(INDIRECT("'"&amp;$A71&amp;$B$3&amp;"'!"&amp;"$m:$m"),INDIRECT("'"&amp;$A71&amp;$B$3&amp;"'!"&amp;"$A:$A"),'Receita Líquida - O&amp;G'!AS$1)*(1/AS$56)/$AG$57*1000*AS$65</f>
        <v>2.0584163631023293</v>
      </c>
      <c r="AT71" s="201">
        <f ca="1">SUMIFS(INDIRECT("'"&amp;$A71&amp;$B$3&amp;"'!"&amp;"$m:$m"),INDIRECT("'"&amp;$A71&amp;$B$3&amp;"'!"&amp;"$A:$A"),'Receita Líquida - O&amp;G'!AT$1)*(1/AT$56)/$AG$57*1000*AT$65</f>
        <v>2.099584690364376</v>
      </c>
      <c r="AU71" s="201">
        <f ca="1">SUMIFS(INDIRECT("'"&amp;$A71&amp;$B$3&amp;"'!"&amp;"$m:$m"),INDIRECT("'"&amp;$A71&amp;$B$3&amp;"'!"&amp;"$A:$A"),'Receita Líquida - O&amp;G'!AU$1)*(1/AU$56)/$AG$57*1000*AU$65</f>
        <v>2.1415763841716635</v>
      </c>
      <c r="AV71" s="201">
        <f ca="1">SUMIFS(INDIRECT("'"&amp;$A71&amp;$B$3&amp;"'!"&amp;"$m:$m"),INDIRECT("'"&amp;$A71&amp;$B$3&amp;"'!"&amp;"$A:$A"),'Receita Líquida - O&amp;G'!AV$1)*(1/AV$56)/$AG$57*1000*AV$65</f>
        <v>2.184407911855097</v>
      </c>
      <c r="AW71" s="201">
        <f ca="1">SUMIFS(INDIRECT("'"&amp;$A71&amp;$B$3&amp;"'!"&amp;"$m:$m"),INDIRECT("'"&amp;$A71&amp;$B$3&amp;"'!"&amp;"$A:$A"),'Receita Líquida - O&amp;G'!AW$1)*(1/AW$56)/$AG$57*1000*AW$65</f>
        <v>2.228096070092199</v>
      </c>
      <c r="AX71" s="201">
        <f ca="1">SUMIFS(INDIRECT("'"&amp;$A71&amp;$B$3&amp;"'!"&amp;"$m:$m"),INDIRECT("'"&amp;$A71&amp;$B$3&amp;"'!"&amp;"$A:$A"),'Receita Líquida - O&amp;G'!AX$1)*(1/AX$56)/$AG$57*1000*AX$65</f>
        <v>2.272657991494043</v>
      </c>
      <c r="AY71" s="201">
        <f ca="1">SUMIFS(INDIRECT("'"&amp;$A71&amp;$B$3&amp;"'!"&amp;"$m:$m"),INDIRECT("'"&amp;$A71&amp;$B$3&amp;"'!"&amp;"$A:$A"),'Receita Líquida - O&amp;G'!AY$1)*(1/AY$56)/$AG$57*1000*AY$65</f>
        <v>2.3038018232293318</v>
      </c>
      <c r="AZ71" s="201">
        <f ca="1">SUMIFS(INDIRECT("'"&amp;$A71&amp;$B$3&amp;"'!"&amp;"$m:$m"),INDIRECT("'"&amp;$A71&amp;$B$3&amp;"'!"&amp;"$A:$A"),'Receita Líquida - O&amp;G'!AZ$1)*(1/AZ$56)/$AG$57*1000*AZ$65</f>
        <v>2.3644733743504025</v>
      </c>
      <c r="BA71" s="201">
        <f ca="1">SUMIFS(INDIRECT("'"&amp;$A71&amp;$B$3&amp;"'!"&amp;"$m:$m"),INDIRECT("'"&amp;$A71&amp;$B$3&amp;"'!"&amp;"$A:$A"),'Receita Líquida - O&amp;G'!BA$1)*(1/BA$56)/$AG$57*1000*BA$65</f>
        <v>2.4117628418374109</v>
      </c>
      <c r="BB71" s="201">
        <f ca="1">SUMIFS(INDIRECT("'"&amp;$A71&amp;$B$3&amp;"'!"&amp;"$m:$m"),INDIRECT("'"&amp;$A71&amp;$B$3&amp;"'!"&amp;"$A:$A"),'Receita Líquida - O&amp;G'!BB$1)*(1/BB$56)/$AG$57*1000*BB$65</f>
        <v>2.4599980986741592</v>
      </c>
      <c r="BC71" s="201">
        <f ca="1">SUMIFS(INDIRECT("'"&amp;$A71&amp;$B$3&amp;"'!"&amp;"$m:$m"),INDIRECT("'"&amp;$A71&amp;$B$3&amp;"'!"&amp;"$A:$A"),'Receita Líquida - O&amp;G'!BC$1)*(1/BC$56)/$AG$57*1000*BC$65</f>
        <v>2.5091980606476425</v>
      </c>
      <c r="BD71" s="201">
        <f ca="1">SUMIFS(INDIRECT("'"&amp;$A71&amp;$B$3&amp;"'!"&amp;"$m:$m"),INDIRECT("'"&amp;$A71&amp;$B$3&amp;"'!"&amp;"$A:$A"),'Receita Líquida - O&amp;G'!BD$1)*(1/BD$56)/$AG$57*1000*BD$65</f>
        <v>2.5593820218605949</v>
      </c>
      <c r="BE71" s="201">
        <f ca="1">SUMIFS(INDIRECT("'"&amp;$A71&amp;$B$3&amp;"'!"&amp;"$m:$m"),INDIRECT("'"&amp;$A71&amp;$B$3&amp;"'!"&amp;"$A:$A"),'Receita Líquida - O&amp;G'!BE$1)*(1/BE$56)/$AG$57*1000*BE$65</f>
        <v>2.6105696622978072</v>
      </c>
      <c r="BF71" s="201">
        <f ca="1">SUMIFS(INDIRECT("'"&amp;$A71&amp;$B$3&amp;"'!"&amp;"$m:$m"),INDIRECT("'"&amp;$A71&amp;$B$3&amp;"'!"&amp;"$A:$A"),'Receita Líquida - O&amp;G'!BF$1)*(1/BF$56)/$AG$57*1000*BF$65</f>
        <v>2.6627810555437632</v>
      </c>
      <c r="BG71" s="201">
        <f ca="1">SUMIFS(INDIRECT("'"&amp;$A71&amp;$B$3&amp;"'!"&amp;"$m:$m"),INDIRECT("'"&amp;$A71&amp;$B$3&amp;"'!"&amp;"$A:$A"),'Receita Líquida - O&amp;G'!BG$1)*(1/BG$56)/$AG$57*1000*BG$65</f>
        <v>2.7160366766546384</v>
      </c>
      <c r="BH71" s="201">
        <f ca="1">SUMIFS(INDIRECT("'"&amp;$A71&amp;$B$3&amp;"'!"&amp;"$m:$m"),INDIRECT("'"&amp;$A71&amp;$B$3&amp;"'!"&amp;"$A:$A"),'Receita Líquida - O&amp;G'!BH$1)*(1/BH$56)/$AG$57*1000*BH$65</f>
        <v>2.7703574101877311</v>
      </c>
      <c r="BI71" s="201">
        <f ca="1">SUMIFS(INDIRECT("'"&amp;$A71&amp;$B$3&amp;"'!"&amp;"$m:$m"),INDIRECT("'"&amp;$A71&amp;$B$3&amp;"'!"&amp;"$A:$A"),'Receita Líquida - O&amp;G'!BI$1)*(1/BI$56)/$AG$57*1000*BI$65</f>
        <v>2.8257645583914859</v>
      </c>
      <c r="BJ71" s="201">
        <f ca="1">SUMIFS(INDIRECT("'"&amp;$A71&amp;$B$3&amp;"'!"&amp;"$m:$m"),INDIRECT("'"&amp;$A71&amp;$B$3&amp;"'!"&amp;"$A:$A"),'Receita Líquida - O&amp;G'!BJ$1)*(1/BJ$56)/$AG$57*1000*BJ$65</f>
        <v>0</v>
      </c>
      <c r="BK71" s="201">
        <f ca="1">SUMIFS(INDIRECT("'"&amp;$A71&amp;$B$3&amp;"'!"&amp;"$m:$m"),INDIRECT("'"&amp;$A71&amp;$B$3&amp;"'!"&amp;"$A:$A"),'Receita Líquida - O&amp;G'!BK$1)*(1/BK$56)/$AG$57*1000*BK$65</f>
        <v>0</v>
      </c>
      <c r="BL71" s="201">
        <f ca="1">SUMIFS(INDIRECT("'"&amp;$A71&amp;$B$3&amp;"'!"&amp;"$m:$m"),INDIRECT("'"&amp;$A71&amp;$B$3&amp;"'!"&amp;"$A:$A"),'Receita Líquida - O&amp;G'!BL$1)*(1/BL$56)/$AG$57*1000*BL$65</f>
        <v>0</v>
      </c>
      <c r="BM71" s="201">
        <f ca="1">SUMIFS(INDIRECT("'"&amp;$A71&amp;$B$3&amp;"'!"&amp;"$m:$m"),INDIRECT("'"&amp;$A71&amp;$B$3&amp;"'!"&amp;"$A:$A"),'Receita Líquida - O&amp;G'!BM$1)*(1/BM$56)/$AG$57*1000*BM$65</f>
        <v>0</v>
      </c>
      <c r="BN71" s="201">
        <f ca="1">SUMIFS(INDIRECT("'"&amp;$A71&amp;$B$3&amp;"'!"&amp;"$m:$m"),INDIRECT("'"&amp;$A71&amp;$B$3&amp;"'!"&amp;"$A:$A"),'Receita Líquida - O&amp;G'!BN$1)*(1/BN$56)/$AG$57*1000*BN$65</f>
        <v>0</v>
      </c>
      <c r="BO71" s="201">
        <f ca="1">SUMIFS(INDIRECT("'"&amp;$A71&amp;$B$3&amp;"'!"&amp;"$m:$m"),INDIRECT("'"&amp;$A71&amp;$B$3&amp;"'!"&amp;"$A:$A"),'Receita Líquida - O&amp;G'!BO$1)*(1/BO$56)/$AG$57*1000*BO$65</f>
        <v>0</v>
      </c>
      <c r="BP71" s="201">
        <f ca="1">SUMIFS(INDIRECT("'"&amp;$A71&amp;$B$3&amp;"'!"&amp;"$m:$m"),INDIRECT("'"&amp;$A71&amp;$B$3&amp;"'!"&amp;"$A:$A"),'Receita Líquida - O&amp;G'!BP$1)*(1/BP$56)/$AG$57*1000*BP$65</f>
        <v>0</v>
      </c>
      <c r="BQ71" s="201">
        <f ca="1">SUMIFS(INDIRECT("'"&amp;$A71&amp;$B$3&amp;"'!"&amp;"$m:$m"),INDIRECT("'"&amp;$A71&amp;$B$3&amp;"'!"&amp;"$A:$A"),'Receita Líquida - O&amp;G'!BQ$1)*(1/BQ$56)/$AG$57*1000*BQ$65</f>
        <v>0</v>
      </c>
      <c r="BR71" s="201">
        <f ca="1">SUMIFS(INDIRECT("'"&amp;$A71&amp;$B$3&amp;"'!"&amp;"$m:$m"),INDIRECT("'"&amp;$A71&amp;$B$3&amp;"'!"&amp;"$A:$A"),'Receita Líquida - O&amp;G'!BR$1)*(1/BR$56)/$AG$57*1000*BR$65</f>
        <v>0</v>
      </c>
      <c r="BS71" s="201">
        <f ca="1">SUMIFS(INDIRECT("'"&amp;$A71&amp;$B$3&amp;"'!"&amp;"$m:$m"),INDIRECT("'"&amp;$A71&amp;$B$3&amp;"'!"&amp;"$A:$A"),'Receita Líquida - O&amp;G'!BS$1)*(1/BS$56)/$AG$57*1000*BS$65</f>
        <v>0</v>
      </c>
      <c r="BT71" s="201">
        <f ca="1">SUMIFS(INDIRECT("'"&amp;$A71&amp;$B$3&amp;"'!"&amp;"$m:$m"),INDIRECT("'"&amp;$A71&amp;$B$3&amp;"'!"&amp;"$A:$A"),'Receita Líquida - O&amp;G'!BT$1)*(1/BT$56)/$AG$57*1000*BT$65</f>
        <v>0</v>
      </c>
      <c r="BU71" s="201">
        <f ca="1">SUMIFS(INDIRECT("'"&amp;$A71&amp;$B$3&amp;"'!"&amp;"$m:$m"),INDIRECT("'"&amp;$A71&amp;$B$3&amp;"'!"&amp;"$A:$A"),'Receita Líquida - O&amp;G'!BU$1)*(1/BU$56)/$AG$57*1000*BU$65</f>
        <v>0</v>
      </c>
      <c r="BV71" s="201">
        <f ca="1">SUMIFS(INDIRECT("'"&amp;$A71&amp;$B$3&amp;"'!"&amp;"$m:$m"),INDIRECT("'"&amp;$A71&amp;$B$3&amp;"'!"&amp;"$A:$A"),'Receita Líquida - O&amp;G'!BV$1)*(1/BV$56)/$AG$57*1000*BV$65</f>
        <v>0</v>
      </c>
      <c r="BW71" s="201">
        <f ca="1">SUMIFS(INDIRECT("'"&amp;$A71&amp;$B$3&amp;"'!"&amp;"$m:$m"),INDIRECT("'"&amp;$A71&amp;$B$3&amp;"'!"&amp;"$A:$A"),'Receita Líquida - O&amp;G'!BW$1)*(1/BW$56)/$AG$57*1000*BW$65</f>
        <v>0</v>
      </c>
    </row>
    <row r="72" spans="1:75" x14ac:dyDescent="0.3">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row>
    <row r="73" spans="1:75" x14ac:dyDescent="0.3">
      <c r="A73" s="4" t="s">
        <v>9</v>
      </c>
      <c r="B73" s="4"/>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c r="AE73" s="72"/>
      <c r="AF73" s="72"/>
      <c r="AG73" s="48">
        <f t="shared" ref="AG73:BL73" ca="1" si="88">SUM(AG74:AG77)</f>
        <v>22.226180511824293</v>
      </c>
      <c r="AH73" s="48">
        <f t="shared" ca="1" si="88"/>
        <v>39.023951590963065</v>
      </c>
      <c r="AI73" s="48">
        <f t="shared" ca="1" si="88"/>
        <v>43.885968861044944</v>
      </c>
      <c r="AJ73" s="48">
        <f t="shared" ca="1" si="88"/>
        <v>52.25960380735475</v>
      </c>
      <c r="AK73" s="48">
        <f t="shared" ca="1" si="88"/>
        <v>58.533301249789211</v>
      </c>
      <c r="AL73" s="48">
        <f t="shared" ca="1" si="88"/>
        <v>67.601096147567205</v>
      </c>
      <c r="AM73" s="48">
        <f t="shared" ca="1" si="88"/>
        <v>60.463926623234826</v>
      </c>
      <c r="AN73" s="48">
        <f t="shared" ca="1" si="88"/>
        <v>46.338802722145815</v>
      </c>
      <c r="AO73" s="48">
        <f t="shared" ca="1" si="88"/>
        <v>35.140094888078032</v>
      </c>
      <c r="AP73" s="48">
        <f t="shared" ca="1" si="88"/>
        <v>27.979698023872846</v>
      </c>
      <c r="AQ73" s="48">
        <f t="shared" ca="1" si="88"/>
        <v>22.78821168356896</v>
      </c>
      <c r="AR73" s="48">
        <f t="shared" ca="1" si="88"/>
        <v>18.278870840051283</v>
      </c>
      <c r="AS73" s="48">
        <f t="shared" ca="1" si="88"/>
        <v>13.95896745587202</v>
      </c>
      <c r="AT73" s="48">
        <f t="shared" ca="1" si="88"/>
        <v>10.795856157712226</v>
      </c>
      <c r="AU73" s="48">
        <f t="shared" ca="1" si="88"/>
        <v>8.6947055892981915</v>
      </c>
      <c r="AV73" s="48">
        <f t="shared" ca="1" si="88"/>
        <v>0.86008711422046724</v>
      </c>
      <c r="AW73" s="48">
        <f t="shared" ca="1" si="88"/>
        <v>0</v>
      </c>
      <c r="AX73" s="48">
        <f t="shared" ca="1" si="88"/>
        <v>0</v>
      </c>
      <c r="AY73" s="48">
        <f t="shared" ca="1" si="88"/>
        <v>0</v>
      </c>
      <c r="AZ73" s="48">
        <f t="shared" ca="1" si="88"/>
        <v>0</v>
      </c>
      <c r="BA73" s="48">
        <f t="shared" ca="1" si="88"/>
        <v>0</v>
      </c>
      <c r="BB73" s="48">
        <f t="shared" ca="1" si="88"/>
        <v>0</v>
      </c>
      <c r="BC73" s="48">
        <f t="shared" ca="1" si="88"/>
        <v>0</v>
      </c>
      <c r="BD73" s="48">
        <f t="shared" ca="1" si="88"/>
        <v>0</v>
      </c>
      <c r="BE73" s="48">
        <f t="shared" ca="1" si="88"/>
        <v>0</v>
      </c>
      <c r="BF73" s="48">
        <f t="shared" ca="1" si="88"/>
        <v>0</v>
      </c>
      <c r="BG73" s="48">
        <f t="shared" ca="1" si="88"/>
        <v>0</v>
      </c>
      <c r="BH73" s="48">
        <f t="shared" ca="1" si="88"/>
        <v>0</v>
      </c>
      <c r="BI73" s="48">
        <f t="shared" ca="1" si="88"/>
        <v>0</v>
      </c>
      <c r="BJ73" s="48">
        <f t="shared" ca="1" si="88"/>
        <v>0</v>
      </c>
      <c r="BK73" s="48">
        <f t="shared" ca="1" si="88"/>
        <v>0</v>
      </c>
      <c r="BL73" s="48">
        <f t="shared" ca="1" si="88"/>
        <v>0</v>
      </c>
      <c r="BM73" s="48">
        <f t="shared" ref="BM73:BW73" ca="1" si="89">SUM(BM74:BM77)</f>
        <v>0</v>
      </c>
      <c r="BN73" s="48">
        <f t="shared" ca="1" si="89"/>
        <v>0</v>
      </c>
      <c r="BO73" s="48">
        <f t="shared" ca="1" si="89"/>
        <v>0</v>
      </c>
      <c r="BP73" s="48">
        <f t="shared" ca="1" si="89"/>
        <v>0</v>
      </c>
      <c r="BQ73" s="48">
        <f t="shared" ca="1" si="89"/>
        <v>0</v>
      </c>
      <c r="BR73" s="48">
        <f t="shared" ca="1" si="89"/>
        <v>0</v>
      </c>
      <c r="BS73" s="48">
        <f t="shared" ca="1" si="89"/>
        <v>0</v>
      </c>
      <c r="BT73" s="48">
        <f t="shared" ca="1" si="89"/>
        <v>0</v>
      </c>
      <c r="BU73" s="48">
        <f t="shared" ca="1" si="89"/>
        <v>0</v>
      </c>
      <c r="BV73" s="48">
        <f t="shared" ca="1" si="89"/>
        <v>0</v>
      </c>
      <c r="BW73" s="48">
        <f t="shared" ca="1" si="89"/>
        <v>0</v>
      </c>
    </row>
    <row r="74" spans="1:75" x14ac:dyDescent="0.3">
      <c r="A74" s="5" t="s">
        <v>66</v>
      </c>
      <c r="B74" s="5"/>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51">
        <f t="shared" ref="AG74:BW74" ca="1" si="90">AG68*AG60/10^3</f>
        <v>17.518620312463565</v>
      </c>
      <c r="AH74" s="51">
        <f t="shared" ca="1" si="90"/>
        <v>27.697220270250419</v>
      </c>
      <c r="AI74" s="51">
        <f t="shared" ca="1" si="90"/>
        <v>26.829294783005199</v>
      </c>
      <c r="AJ74" s="51">
        <f t="shared" ca="1" si="90"/>
        <v>30.059366329249126</v>
      </c>
      <c r="AK74" s="51">
        <f t="shared" ca="1" si="90"/>
        <v>35.165640168209983</v>
      </c>
      <c r="AL74" s="51">
        <f t="shared" ca="1" si="90"/>
        <v>41.825312752629145</v>
      </c>
      <c r="AM74" s="51">
        <f t="shared" ca="1" si="90"/>
        <v>36.197993358510246</v>
      </c>
      <c r="AN74" s="51">
        <f t="shared" ca="1" si="90"/>
        <v>26.438430066314321</v>
      </c>
      <c r="AO74" s="51">
        <f t="shared" ca="1" si="90"/>
        <v>18.884624727617602</v>
      </c>
      <c r="AP74" s="51">
        <f t="shared" ca="1" si="90"/>
        <v>14.972921298645362</v>
      </c>
      <c r="AQ74" s="51">
        <f t="shared" ca="1" si="90"/>
        <v>12.556058525831505</v>
      </c>
      <c r="AR74" s="51">
        <f t="shared" ca="1" si="90"/>
        <v>10.658513428865172</v>
      </c>
      <c r="AS74" s="51">
        <f t="shared" ca="1" si="90"/>
        <v>8.481529761578436</v>
      </c>
      <c r="AT74" s="51">
        <f t="shared" ca="1" si="90"/>
        <v>7.2703330827315149</v>
      </c>
      <c r="AU74" s="51">
        <f t="shared" ca="1" si="90"/>
        <v>6.6199058101952843</v>
      </c>
      <c r="AV74" s="51">
        <f t="shared" ca="1" si="90"/>
        <v>0</v>
      </c>
      <c r="AW74" s="51">
        <f t="shared" ca="1" si="90"/>
        <v>0</v>
      </c>
      <c r="AX74" s="51">
        <f t="shared" ca="1" si="90"/>
        <v>0</v>
      </c>
      <c r="AY74" s="51">
        <f t="shared" ca="1" si="90"/>
        <v>0</v>
      </c>
      <c r="AZ74" s="51">
        <f t="shared" ca="1" si="90"/>
        <v>0</v>
      </c>
      <c r="BA74" s="51">
        <f t="shared" ca="1" si="90"/>
        <v>0</v>
      </c>
      <c r="BB74" s="51">
        <f t="shared" ca="1" si="90"/>
        <v>0</v>
      </c>
      <c r="BC74" s="51">
        <f t="shared" ca="1" si="90"/>
        <v>0</v>
      </c>
      <c r="BD74" s="51">
        <f t="shared" ca="1" si="90"/>
        <v>0</v>
      </c>
      <c r="BE74" s="51">
        <f t="shared" ca="1" si="90"/>
        <v>0</v>
      </c>
      <c r="BF74" s="51">
        <f t="shared" ca="1" si="90"/>
        <v>0</v>
      </c>
      <c r="BG74" s="51">
        <f t="shared" ca="1" si="90"/>
        <v>0</v>
      </c>
      <c r="BH74" s="51">
        <f t="shared" ca="1" si="90"/>
        <v>0</v>
      </c>
      <c r="BI74" s="51">
        <f t="shared" ca="1" si="90"/>
        <v>0</v>
      </c>
      <c r="BJ74" s="51">
        <f t="shared" ca="1" si="90"/>
        <v>0</v>
      </c>
      <c r="BK74" s="51">
        <f t="shared" ca="1" si="90"/>
        <v>0</v>
      </c>
      <c r="BL74" s="51">
        <f t="shared" ca="1" si="90"/>
        <v>0</v>
      </c>
      <c r="BM74" s="51">
        <f t="shared" ca="1" si="90"/>
        <v>0</v>
      </c>
      <c r="BN74" s="51">
        <f t="shared" ca="1" si="90"/>
        <v>0</v>
      </c>
      <c r="BO74" s="51">
        <f t="shared" ca="1" si="90"/>
        <v>0</v>
      </c>
      <c r="BP74" s="51">
        <f t="shared" ca="1" si="90"/>
        <v>0</v>
      </c>
      <c r="BQ74" s="51">
        <f t="shared" ca="1" si="90"/>
        <v>0</v>
      </c>
      <c r="BR74" s="51">
        <f t="shared" ca="1" si="90"/>
        <v>0</v>
      </c>
      <c r="BS74" s="51">
        <f t="shared" ca="1" si="90"/>
        <v>0</v>
      </c>
      <c r="BT74" s="51">
        <f t="shared" ca="1" si="90"/>
        <v>0</v>
      </c>
      <c r="BU74" s="51">
        <f t="shared" ca="1" si="90"/>
        <v>0</v>
      </c>
      <c r="BV74" s="51">
        <f t="shared" ca="1" si="90"/>
        <v>0</v>
      </c>
      <c r="BW74" s="51">
        <f t="shared" ca="1" si="90"/>
        <v>0</v>
      </c>
    </row>
    <row r="75" spans="1:75" x14ac:dyDescent="0.3">
      <c r="A75" s="5" t="s">
        <v>67</v>
      </c>
      <c r="B75" s="5"/>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2"/>
      <c r="BD75" s="72"/>
      <c r="BE75" s="72"/>
      <c r="BF75" s="72"/>
      <c r="BG75" s="72"/>
      <c r="BH75" s="72"/>
      <c r="BI75" s="72"/>
      <c r="BJ75" s="72"/>
      <c r="BK75" s="72"/>
      <c r="BL75" s="72"/>
      <c r="BM75" s="72"/>
      <c r="BN75" s="72"/>
      <c r="BO75" s="72"/>
      <c r="BP75" s="72"/>
      <c r="BQ75" s="72"/>
      <c r="BR75" s="72"/>
      <c r="BS75" s="72"/>
      <c r="BT75" s="72"/>
      <c r="BU75" s="72"/>
      <c r="BV75" s="72"/>
      <c r="BW75" s="72"/>
    </row>
    <row r="76" spans="1:75" x14ac:dyDescent="0.3">
      <c r="A76" s="5" t="s">
        <v>69</v>
      </c>
      <c r="B76" s="5"/>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51">
        <f t="shared" ref="AG76:BW76" ca="1" si="91">AG70*AG62/10^3</f>
        <v>0</v>
      </c>
      <c r="AH76" s="51">
        <f t="shared" ca="1" si="91"/>
        <v>0</v>
      </c>
      <c r="AI76" s="51">
        <f t="shared" ca="1" si="91"/>
        <v>0</v>
      </c>
      <c r="AJ76" s="51">
        <f t="shared" ca="1" si="91"/>
        <v>0</v>
      </c>
      <c r="AK76" s="51">
        <f t="shared" ca="1" si="91"/>
        <v>0</v>
      </c>
      <c r="AL76" s="51">
        <f t="shared" ca="1" si="91"/>
        <v>0</v>
      </c>
      <c r="AM76" s="51">
        <f t="shared" ca="1" si="91"/>
        <v>0</v>
      </c>
      <c r="AN76" s="51">
        <f t="shared" ca="1" si="91"/>
        <v>0</v>
      </c>
      <c r="AO76" s="51">
        <f t="shared" ca="1" si="91"/>
        <v>0</v>
      </c>
      <c r="AP76" s="51">
        <f t="shared" ca="1" si="91"/>
        <v>0</v>
      </c>
      <c r="AQ76" s="51">
        <f t="shared" ca="1" si="91"/>
        <v>0</v>
      </c>
      <c r="AR76" s="51">
        <f t="shared" ca="1" si="91"/>
        <v>0</v>
      </c>
      <c r="AS76" s="51">
        <f t="shared" ca="1" si="91"/>
        <v>0</v>
      </c>
      <c r="AT76" s="51">
        <f t="shared" ca="1" si="91"/>
        <v>0</v>
      </c>
      <c r="AU76" s="51">
        <f t="shared" ca="1" si="91"/>
        <v>0</v>
      </c>
      <c r="AV76" s="51">
        <f t="shared" ca="1" si="91"/>
        <v>0</v>
      </c>
      <c r="AW76" s="51">
        <f t="shared" ca="1" si="91"/>
        <v>0</v>
      </c>
      <c r="AX76" s="51">
        <f t="shared" ca="1" si="91"/>
        <v>0</v>
      </c>
      <c r="AY76" s="51">
        <f t="shared" ca="1" si="91"/>
        <v>0</v>
      </c>
      <c r="AZ76" s="51">
        <f t="shared" ca="1" si="91"/>
        <v>0</v>
      </c>
      <c r="BA76" s="51">
        <f t="shared" ca="1" si="91"/>
        <v>0</v>
      </c>
      <c r="BB76" s="51">
        <f t="shared" ca="1" si="91"/>
        <v>0</v>
      </c>
      <c r="BC76" s="51">
        <f t="shared" ca="1" si="91"/>
        <v>0</v>
      </c>
      <c r="BD76" s="51">
        <f t="shared" ca="1" si="91"/>
        <v>0</v>
      </c>
      <c r="BE76" s="51">
        <f t="shared" ca="1" si="91"/>
        <v>0</v>
      </c>
      <c r="BF76" s="51">
        <f t="shared" ca="1" si="91"/>
        <v>0</v>
      </c>
      <c r="BG76" s="51">
        <f t="shared" ca="1" si="91"/>
        <v>0</v>
      </c>
      <c r="BH76" s="51">
        <f t="shared" ca="1" si="91"/>
        <v>0</v>
      </c>
      <c r="BI76" s="51">
        <f t="shared" ca="1" si="91"/>
        <v>0</v>
      </c>
      <c r="BJ76" s="51">
        <f t="shared" ca="1" si="91"/>
        <v>0</v>
      </c>
      <c r="BK76" s="51">
        <f t="shared" ca="1" si="91"/>
        <v>0</v>
      </c>
      <c r="BL76" s="51">
        <f t="shared" ca="1" si="91"/>
        <v>0</v>
      </c>
      <c r="BM76" s="51">
        <f t="shared" ca="1" si="91"/>
        <v>0</v>
      </c>
      <c r="BN76" s="51">
        <f t="shared" ca="1" si="91"/>
        <v>0</v>
      </c>
      <c r="BO76" s="51">
        <f t="shared" ca="1" si="91"/>
        <v>0</v>
      </c>
      <c r="BP76" s="51">
        <f t="shared" ca="1" si="91"/>
        <v>0</v>
      </c>
      <c r="BQ76" s="51">
        <f t="shared" ca="1" si="91"/>
        <v>0</v>
      </c>
      <c r="BR76" s="51">
        <f t="shared" ca="1" si="91"/>
        <v>0</v>
      </c>
      <c r="BS76" s="51">
        <f t="shared" ca="1" si="91"/>
        <v>0</v>
      </c>
      <c r="BT76" s="51">
        <f t="shared" ca="1" si="91"/>
        <v>0</v>
      </c>
      <c r="BU76" s="51">
        <f t="shared" ca="1" si="91"/>
        <v>0</v>
      </c>
      <c r="BV76" s="51">
        <f t="shared" ca="1" si="91"/>
        <v>0</v>
      </c>
      <c r="BW76" s="51">
        <f t="shared" ca="1" si="91"/>
        <v>0</v>
      </c>
    </row>
    <row r="77" spans="1:75" x14ac:dyDescent="0.3">
      <c r="A77" s="5" t="s">
        <v>68</v>
      </c>
      <c r="B77" s="5"/>
      <c r="C77" s="72"/>
      <c r="D77" s="72"/>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c r="AE77" s="72"/>
      <c r="AF77" s="72"/>
      <c r="AG77" s="51">
        <f t="shared" ref="AG77:BW77" ca="1" si="92">AG71*AG63/10^3</f>
        <v>4.7075601993607288</v>
      </c>
      <c r="AH77" s="51">
        <f t="shared" ca="1" si="92"/>
        <v>11.326731320712645</v>
      </c>
      <c r="AI77" s="51">
        <f t="shared" ca="1" si="92"/>
        <v>17.056674078039741</v>
      </c>
      <c r="AJ77" s="51">
        <f t="shared" ca="1" si="92"/>
        <v>22.20023747810562</v>
      </c>
      <c r="AK77" s="51">
        <f t="shared" ca="1" si="92"/>
        <v>23.367661081579229</v>
      </c>
      <c r="AL77" s="51">
        <f t="shared" ca="1" si="92"/>
        <v>25.775783394938063</v>
      </c>
      <c r="AM77" s="51">
        <f t="shared" ca="1" si="92"/>
        <v>24.26593326472458</v>
      </c>
      <c r="AN77" s="51">
        <f t="shared" ca="1" si="92"/>
        <v>19.900372655831497</v>
      </c>
      <c r="AO77" s="51">
        <f t="shared" ca="1" si="92"/>
        <v>16.25547016046043</v>
      </c>
      <c r="AP77" s="51">
        <f t="shared" ca="1" si="92"/>
        <v>13.006776725227484</v>
      </c>
      <c r="AQ77" s="51">
        <f t="shared" ca="1" si="92"/>
        <v>10.232153157737454</v>
      </c>
      <c r="AR77" s="51">
        <f t="shared" ca="1" si="92"/>
        <v>7.6203574111861094</v>
      </c>
      <c r="AS77" s="51">
        <f t="shared" ca="1" si="92"/>
        <v>5.4774376942935845</v>
      </c>
      <c r="AT77" s="51">
        <f t="shared" ca="1" si="92"/>
        <v>3.5255230749807107</v>
      </c>
      <c r="AU77" s="51">
        <f t="shared" ca="1" si="92"/>
        <v>2.074799779102908</v>
      </c>
      <c r="AV77" s="51">
        <f t="shared" ca="1" si="92"/>
        <v>0.86008711422046724</v>
      </c>
      <c r="AW77" s="51">
        <f t="shared" ca="1" si="92"/>
        <v>0</v>
      </c>
      <c r="AX77" s="51">
        <f t="shared" ca="1" si="92"/>
        <v>0</v>
      </c>
      <c r="AY77" s="51">
        <f t="shared" ca="1" si="92"/>
        <v>0</v>
      </c>
      <c r="AZ77" s="51">
        <f t="shared" ca="1" si="92"/>
        <v>0</v>
      </c>
      <c r="BA77" s="51">
        <f t="shared" ca="1" si="92"/>
        <v>0</v>
      </c>
      <c r="BB77" s="51">
        <f t="shared" ca="1" si="92"/>
        <v>0</v>
      </c>
      <c r="BC77" s="51">
        <f t="shared" ca="1" si="92"/>
        <v>0</v>
      </c>
      <c r="BD77" s="51">
        <f t="shared" ca="1" si="92"/>
        <v>0</v>
      </c>
      <c r="BE77" s="51">
        <f t="shared" ca="1" si="92"/>
        <v>0</v>
      </c>
      <c r="BF77" s="51">
        <f t="shared" ca="1" si="92"/>
        <v>0</v>
      </c>
      <c r="BG77" s="51">
        <f t="shared" ca="1" si="92"/>
        <v>0</v>
      </c>
      <c r="BH77" s="51">
        <f t="shared" ca="1" si="92"/>
        <v>0</v>
      </c>
      <c r="BI77" s="51">
        <f t="shared" ca="1" si="92"/>
        <v>0</v>
      </c>
      <c r="BJ77" s="51">
        <f t="shared" ca="1" si="92"/>
        <v>0</v>
      </c>
      <c r="BK77" s="51">
        <f t="shared" ca="1" si="92"/>
        <v>0</v>
      </c>
      <c r="BL77" s="51">
        <f t="shared" ca="1" si="92"/>
        <v>0</v>
      </c>
      <c r="BM77" s="51">
        <f t="shared" ca="1" si="92"/>
        <v>0</v>
      </c>
      <c r="BN77" s="51">
        <f t="shared" ca="1" si="92"/>
        <v>0</v>
      </c>
      <c r="BO77" s="51">
        <f t="shared" ca="1" si="92"/>
        <v>0</v>
      </c>
      <c r="BP77" s="51">
        <f t="shared" ca="1" si="92"/>
        <v>0</v>
      </c>
      <c r="BQ77" s="51">
        <f t="shared" ca="1" si="92"/>
        <v>0</v>
      </c>
      <c r="BR77" s="51">
        <f t="shared" ca="1" si="92"/>
        <v>0</v>
      </c>
      <c r="BS77" s="51">
        <f t="shared" ca="1" si="92"/>
        <v>0</v>
      </c>
      <c r="BT77" s="51">
        <f t="shared" ca="1" si="92"/>
        <v>0</v>
      </c>
      <c r="BU77" s="51">
        <f t="shared" ca="1" si="92"/>
        <v>0</v>
      </c>
      <c r="BV77" s="51">
        <f t="shared" ca="1" si="92"/>
        <v>0</v>
      </c>
      <c r="BW77" s="51">
        <f t="shared" ca="1" si="92"/>
        <v>0</v>
      </c>
    </row>
    <row r="79" spans="1:75" x14ac:dyDescent="0.3">
      <c r="A79" s="4" t="s">
        <v>384</v>
      </c>
      <c r="B79" s="4"/>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48">
        <f t="shared" ref="AG79:BL79" ca="1" si="93">AG73*AG$17</f>
        <v>109.63508061067569</v>
      </c>
      <c r="AH79" s="48">
        <f t="shared" ca="1" si="93"/>
        <v>195.11975795481533</v>
      </c>
      <c r="AI79" s="48">
        <f t="shared" ca="1" si="93"/>
        <v>221.18528305966652</v>
      </c>
      <c r="AJ79" s="48">
        <f t="shared" ca="1" si="93"/>
        <v>266.52397941750922</v>
      </c>
      <c r="AK79" s="48">
        <f t="shared" ca="1" si="93"/>
        <v>298.51983637392493</v>
      </c>
      <c r="AL79" s="48">
        <f t="shared" ca="1" si="93"/>
        <v>348.14564515997114</v>
      </c>
      <c r="AM79" s="48">
        <f t="shared" ca="1" si="93"/>
        <v>314.44205762053838</v>
      </c>
      <c r="AN79" s="48">
        <f t="shared" ca="1" si="93"/>
        <v>243.34708228643908</v>
      </c>
      <c r="AO79" s="48">
        <f t="shared" ca="1" si="93"/>
        <v>186.346533293981</v>
      </c>
      <c r="AP79" s="48">
        <f t="shared" ca="1" si="93"/>
        <v>149.82989107520021</v>
      </c>
      <c r="AQ79" s="48">
        <f t="shared" ca="1" si="93"/>
        <v>123.22610997170587</v>
      </c>
      <c r="AR79" s="48">
        <f t="shared" ca="1" si="93"/>
        <v>99.811115835085374</v>
      </c>
      <c r="AS79" s="48">
        <f t="shared" ca="1" si="93"/>
        <v>76.969717818230194</v>
      </c>
      <c r="AT79" s="48">
        <f t="shared" ca="1" si="93"/>
        <v>60.111939696207244</v>
      </c>
      <c r="AU79" s="48">
        <f t="shared" ca="1" si="93"/>
        <v>48.887247573227789</v>
      </c>
      <c r="AV79" s="48">
        <f t="shared" ca="1" si="93"/>
        <v>4.8833763951222044</v>
      </c>
      <c r="AW79" s="48">
        <f t="shared" ca="1" si="93"/>
        <v>0</v>
      </c>
      <c r="AX79" s="48">
        <f t="shared" ca="1" si="93"/>
        <v>0</v>
      </c>
      <c r="AY79" s="48">
        <f t="shared" ca="1" si="93"/>
        <v>0</v>
      </c>
      <c r="AZ79" s="48">
        <f t="shared" ca="1" si="93"/>
        <v>0</v>
      </c>
      <c r="BA79" s="48">
        <f t="shared" ca="1" si="93"/>
        <v>0</v>
      </c>
      <c r="BB79" s="48">
        <f t="shared" ca="1" si="93"/>
        <v>0</v>
      </c>
      <c r="BC79" s="48">
        <f t="shared" ca="1" si="93"/>
        <v>0</v>
      </c>
      <c r="BD79" s="48">
        <f t="shared" ca="1" si="93"/>
        <v>0</v>
      </c>
      <c r="BE79" s="48">
        <f t="shared" ca="1" si="93"/>
        <v>0</v>
      </c>
      <c r="BF79" s="48">
        <f t="shared" ca="1" si="93"/>
        <v>0</v>
      </c>
      <c r="BG79" s="48">
        <f t="shared" ca="1" si="93"/>
        <v>0</v>
      </c>
      <c r="BH79" s="48">
        <f t="shared" ca="1" si="93"/>
        <v>0</v>
      </c>
      <c r="BI79" s="48">
        <f t="shared" ca="1" si="93"/>
        <v>0</v>
      </c>
      <c r="BJ79" s="48">
        <f t="shared" ca="1" si="93"/>
        <v>0</v>
      </c>
      <c r="BK79" s="48">
        <f t="shared" ca="1" si="93"/>
        <v>0</v>
      </c>
      <c r="BL79" s="48">
        <f t="shared" ca="1" si="93"/>
        <v>0</v>
      </c>
      <c r="BM79" s="48">
        <f t="shared" ref="BM79:BW79" ca="1" si="94">BM73*BM$17</f>
        <v>0</v>
      </c>
      <c r="BN79" s="48">
        <f t="shared" ca="1" si="94"/>
        <v>0</v>
      </c>
      <c r="BO79" s="48">
        <f t="shared" ca="1" si="94"/>
        <v>0</v>
      </c>
      <c r="BP79" s="48">
        <f t="shared" ca="1" si="94"/>
        <v>0</v>
      </c>
      <c r="BQ79" s="48">
        <f t="shared" ca="1" si="94"/>
        <v>0</v>
      </c>
      <c r="BR79" s="48">
        <f t="shared" ca="1" si="94"/>
        <v>0</v>
      </c>
      <c r="BS79" s="48">
        <f t="shared" ca="1" si="94"/>
        <v>0</v>
      </c>
      <c r="BT79" s="48">
        <f t="shared" ca="1" si="94"/>
        <v>0</v>
      </c>
      <c r="BU79" s="48">
        <f t="shared" ca="1" si="94"/>
        <v>0</v>
      </c>
      <c r="BV79" s="48">
        <f t="shared" ca="1" si="94"/>
        <v>0</v>
      </c>
      <c r="BW79" s="48">
        <f t="shared" ca="1" si="94"/>
        <v>0</v>
      </c>
    </row>
    <row r="80" spans="1:75" x14ac:dyDescent="0.3">
      <c r="A80" s="5" t="s">
        <v>66</v>
      </c>
      <c r="B80" s="5"/>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51">
        <f t="shared" ref="AG80:BL80" ca="1" si="95">AG74*AG$17</f>
        <v>86.414098415289018</v>
      </c>
      <c r="AH80" s="51">
        <f t="shared" ca="1" si="95"/>
        <v>138.4861013512521</v>
      </c>
      <c r="AI80" s="51">
        <f t="shared" ca="1" si="95"/>
        <v>135.2196457063462</v>
      </c>
      <c r="AJ80" s="51">
        <f t="shared" ca="1" si="95"/>
        <v>153.30276827917052</v>
      </c>
      <c r="AK80" s="51">
        <f t="shared" ca="1" si="95"/>
        <v>179.3447648578709</v>
      </c>
      <c r="AL80" s="51">
        <f t="shared" ca="1" si="95"/>
        <v>215.40036067604012</v>
      </c>
      <c r="AM80" s="51">
        <f t="shared" ca="1" si="95"/>
        <v>188.24730957864472</v>
      </c>
      <c r="AN80" s="51">
        <f t="shared" ca="1" si="95"/>
        <v>138.8407649513334</v>
      </c>
      <c r="AO80" s="51">
        <f t="shared" ca="1" si="95"/>
        <v>100.14441798628293</v>
      </c>
      <c r="AP80" s="51">
        <f t="shared" ca="1" si="95"/>
        <v>80.179248730256958</v>
      </c>
      <c r="AQ80" s="51">
        <f t="shared" ca="1" si="95"/>
        <v>67.896255757133162</v>
      </c>
      <c r="AR80" s="51">
        <f t="shared" ca="1" si="95"/>
        <v>58.200428669109741</v>
      </c>
      <c r="AS80" s="51">
        <f t="shared" ca="1" si="95"/>
        <v>46.767137646774572</v>
      </c>
      <c r="AT80" s="51">
        <f t="shared" ca="1" si="95"/>
        <v>40.481627159166422</v>
      </c>
      <c r="AU80" s="51">
        <f t="shared" ca="1" si="95"/>
        <v>37.22138385603327</v>
      </c>
      <c r="AV80" s="51">
        <f t="shared" ca="1" si="95"/>
        <v>0</v>
      </c>
      <c r="AW80" s="51">
        <f t="shared" ca="1" si="95"/>
        <v>0</v>
      </c>
      <c r="AX80" s="51">
        <f t="shared" ca="1" si="95"/>
        <v>0</v>
      </c>
      <c r="AY80" s="51">
        <f t="shared" ca="1" si="95"/>
        <v>0</v>
      </c>
      <c r="AZ80" s="51">
        <f t="shared" ca="1" si="95"/>
        <v>0</v>
      </c>
      <c r="BA80" s="51">
        <f t="shared" ca="1" si="95"/>
        <v>0</v>
      </c>
      <c r="BB80" s="51">
        <f t="shared" ca="1" si="95"/>
        <v>0</v>
      </c>
      <c r="BC80" s="51">
        <f t="shared" ca="1" si="95"/>
        <v>0</v>
      </c>
      <c r="BD80" s="51">
        <f t="shared" ca="1" si="95"/>
        <v>0</v>
      </c>
      <c r="BE80" s="51">
        <f t="shared" ca="1" si="95"/>
        <v>0</v>
      </c>
      <c r="BF80" s="51">
        <f t="shared" ca="1" si="95"/>
        <v>0</v>
      </c>
      <c r="BG80" s="51">
        <f t="shared" ca="1" si="95"/>
        <v>0</v>
      </c>
      <c r="BH80" s="51">
        <f t="shared" ca="1" si="95"/>
        <v>0</v>
      </c>
      <c r="BI80" s="51">
        <f t="shared" ca="1" si="95"/>
        <v>0</v>
      </c>
      <c r="BJ80" s="51">
        <f t="shared" ca="1" si="95"/>
        <v>0</v>
      </c>
      <c r="BK80" s="51">
        <f t="shared" ca="1" si="95"/>
        <v>0</v>
      </c>
      <c r="BL80" s="51">
        <f t="shared" ca="1" si="95"/>
        <v>0</v>
      </c>
      <c r="BM80" s="51">
        <f t="shared" ref="BM80:BW80" ca="1" si="96">BM74*BM$17</f>
        <v>0</v>
      </c>
      <c r="BN80" s="51">
        <f t="shared" ca="1" si="96"/>
        <v>0</v>
      </c>
      <c r="BO80" s="51">
        <f t="shared" ca="1" si="96"/>
        <v>0</v>
      </c>
      <c r="BP80" s="51">
        <f t="shared" ca="1" si="96"/>
        <v>0</v>
      </c>
      <c r="BQ80" s="51">
        <f t="shared" ca="1" si="96"/>
        <v>0</v>
      </c>
      <c r="BR80" s="51">
        <f t="shared" ca="1" si="96"/>
        <v>0</v>
      </c>
      <c r="BS80" s="51">
        <f t="shared" ca="1" si="96"/>
        <v>0</v>
      </c>
      <c r="BT80" s="51">
        <f t="shared" ca="1" si="96"/>
        <v>0</v>
      </c>
      <c r="BU80" s="51">
        <f t="shared" ca="1" si="96"/>
        <v>0</v>
      </c>
      <c r="BV80" s="51">
        <f t="shared" ca="1" si="96"/>
        <v>0</v>
      </c>
      <c r="BW80" s="51">
        <f t="shared" ca="1" si="96"/>
        <v>0</v>
      </c>
    </row>
    <row r="81" spans="1:75" x14ac:dyDescent="0.3">
      <c r="A81" s="5" t="s">
        <v>67</v>
      </c>
      <c r="B81" s="5"/>
      <c r="C81" s="72"/>
      <c r="D81" s="72"/>
      <c r="E81" s="72"/>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c r="AV81" s="72"/>
      <c r="AW81" s="72"/>
      <c r="AX81" s="72"/>
      <c r="AY81" s="72"/>
      <c r="AZ81" s="72"/>
      <c r="BA81" s="72"/>
      <c r="BB81" s="72"/>
      <c r="BC81" s="72"/>
      <c r="BD81" s="72"/>
      <c r="BE81" s="72"/>
      <c r="BF81" s="72"/>
      <c r="BG81" s="72"/>
      <c r="BH81" s="72"/>
      <c r="BI81" s="72"/>
      <c r="BJ81" s="72"/>
      <c r="BK81" s="72"/>
      <c r="BL81" s="72"/>
      <c r="BM81" s="72"/>
      <c r="BN81" s="72"/>
      <c r="BO81" s="72"/>
      <c r="BP81" s="72"/>
      <c r="BQ81" s="72"/>
      <c r="BR81" s="72"/>
      <c r="BS81" s="72"/>
      <c r="BT81" s="72"/>
      <c r="BU81" s="72"/>
      <c r="BV81" s="72"/>
      <c r="BW81" s="72"/>
    </row>
    <row r="82" spans="1:75" x14ac:dyDescent="0.3">
      <c r="A82" s="5" t="s">
        <v>69</v>
      </c>
      <c r="B82" s="5"/>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c r="AC82" s="72"/>
      <c r="AD82" s="72"/>
      <c r="AE82" s="72"/>
      <c r="AF82" s="72"/>
      <c r="AG82" s="51">
        <f t="shared" ref="AG82:BL82" ca="1" si="97">AG76*AG$17</f>
        <v>0</v>
      </c>
      <c r="AH82" s="51">
        <f t="shared" ca="1" si="97"/>
        <v>0</v>
      </c>
      <c r="AI82" s="51">
        <f t="shared" ca="1" si="97"/>
        <v>0</v>
      </c>
      <c r="AJ82" s="51">
        <f t="shared" ca="1" si="97"/>
        <v>0</v>
      </c>
      <c r="AK82" s="51">
        <f t="shared" ca="1" si="97"/>
        <v>0</v>
      </c>
      <c r="AL82" s="51">
        <f t="shared" ca="1" si="97"/>
        <v>0</v>
      </c>
      <c r="AM82" s="51">
        <f t="shared" ca="1" si="97"/>
        <v>0</v>
      </c>
      <c r="AN82" s="51">
        <f t="shared" ca="1" si="97"/>
        <v>0</v>
      </c>
      <c r="AO82" s="51">
        <f t="shared" ca="1" si="97"/>
        <v>0</v>
      </c>
      <c r="AP82" s="51">
        <f t="shared" ca="1" si="97"/>
        <v>0</v>
      </c>
      <c r="AQ82" s="51">
        <f t="shared" ca="1" si="97"/>
        <v>0</v>
      </c>
      <c r="AR82" s="51">
        <f t="shared" ca="1" si="97"/>
        <v>0</v>
      </c>
      <c r="AS82" s="51">
        <f t="shared" ca="1" si="97"/>
        <v>0</v>
      </c>
      <c r="AT82" s="51">
        <f t="shared" ca="1" si="97"/>
        <v>0</v>
      </c>
      <c r="AU82" s="51">
        <f t="shared" ca="1" si="97"/>
        <v>0</v>
      </c>
      <c r="AV82" s="51">
        <f t="shared" ca="1" si="97"/>
        <v>0</v>
      </c>
      <c r="AW82" s="51">
        <f t="shared" ca="1" si="97"/>
        <v>0</v>
      </c>
      <c r="AX82" s="51">
        <f t="shared" ca="1" si="97"/>
        <v>0</v>
      </c>
      <c r="AY82" s="51">
        <f t="shared" ca="1" si="97"/>
        <v>0</v>
      </c>
      <c r="AZ82" s="51">
        <f t="shared" ca="1" si="97"/>
        <v>0</v>
      </c>
      <c r="BA82" s="51">
        <f t="shared" ca="1" si="97"/>
        <v>0</v>
      </c>
      <c r="BB82" s="51">
        <f t="shared" ca="1" si="97"/>
        <v>0</v>
      </c>
      <c r="BC82" s="51">
        <f t="shared" ca="1" si="97"/>
        <v>0</v>
      </c>
      <c r="BD82" s="51">
        <f t="shared" ca="1" si="97"/>
        <v>0</v>
      </c>
      <c r="BE82" s="51">
        <f t="shared" ca="1" si="97"/>
        <v>0</v>
      </c>
      <c r="BF82" s="51">
        <f t="shared" ca="1" si="97"/>
        <v>0</v>
      </c>
      <c r="BG82" s="51">
        <f t="shared" ca="1" si="97"/>
        <v>0</v>
      </c>
      <c r="BH82" s="51">
        <f t="shared" ca="1" si="97"/>
        <v>0</v>
      </c>
      <c r="BI82" s="51">
        <f t="shared" ca="1" si="97"/>
        <v>0</v>
      </c>
      <c r="BJ82" s="51">
        <f t="shared" ca="1" si="97"/>
        <v>0</v>
      </c>
      <c r="BK82" s="51">
        <f t="shared" ca="1" si="97"/>
        <v>0</v>
      </c>
      <c r="BL82" s="51">
        <f t="shared" ca="1" si="97"/>
        <v>0</v>
      </c>
      <c r="BM82" s="51">
        <f t="shared" ref="BM82:BW82" ca="1" si="98">BM76*BM$17</f>
        <v>0</v>
      </c>
      <c r="BN82" s="51">
        <f t="shared" ca="1" si="98"/>
        <v>0</v>
      </c>
      <c r="BO82" s="51">
        <f t="shared" ca="1" si="98"/>
        <v>0</v>
      </c>
      <c r="BP82" s="51">
        <f t="shared" ca="1" si="98"/>
        <v>0</v>
      </c>
      <c r="BQ82" s="51">
        <f t="shared" ca="1" si="98"/>
        <v>0</v>
      </c>
      <c r="BR82" s="51">
        <f t="shared" ca="1" si="98"/>
        <v>0</v>
      </c>
      <c r="BS82" s="51">
        <f t="shared" ca="1" si="98"/>
        <v>0</v>
      </c>
      <c r="BT82" s="51">
        <f t="shared" ca="1" si="98"/>
        <v>0</v>
      </c>
      <c r="BU82" s="51">
        <f t="shared" ca="1" si="98"/>
        <v>0</v>
      </c>
      <c r="BV82" s="51">
        <f t="shared" ca="1" si="98"/>
        <v>0</v>
      </c>
      <c r="BW82" s="51">
        <f t="shared" ca="1" si="98"/>
        <v>0</v>
      </c>
    </row>
    <row r="83" spans="1:75" x14ac:dyDescent="0.3">
      <c r="A83" s="5" t="s">
        <v>68</v>
      </c>
      <c r="B83" s="5"/>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51">
        <f t="shared" ref="AG83:BL83" ca="1" si="99">AG77*AG$17</f>
        <v>23.220982195386664</v>
      </c>
      <c r="AH83" s="51">
        <f t="shared" ca="1" si="99"/>
        <v>56.633656603563225</v>
      </c>
      <c r="AI83" s="51">
        <f t="shared" ca="1" si="99"/>
        <v>85.96563735332029</v>
      </c>
      <c r="AJ83" s="51">
        <f t="shared" ca="1" si="99"/>
        <v>113.22121113833866</v>
      </c>
      <c r="AK83" s="51">
        <f t="shared" ca="1" si="99"/>
        <v>119.17507151605406</v>
      </c>
      <c r="AL83" s="51">
        <f t="shared" ca="1" si="99"/>
        <v>132.74528448393104</v>
      </c>
      <c r="AM83" s="51">
        <f t="shared" ca="1" si="99"/>
        <v>126.19474804189367</v>
      </c>
      <c r="AN83" s="51">
        <f t="shared" ca="1" si="99"/>
        <v>104.50631733510568</v>
      </c>
      <c r="AO83" s="51">
        <f t="shared" ca="1" si="99"/>
        <v>86.202115307698065</v>
      </c>
      <c r="AP83" s="51">
        <f t="shared" ca="1" si="99"/>
        <v>69.65064234494325</v>
      </c>
      <c r="AQ83" s="51">
        <f t="shared" ca="1" si="99"/>
        <v>55.329854214572698</v>
      </c>
      <c r="AR83" s="51">
        <f t="shared" ca="1" si="99"/>
        <v>41.610687165975627</v>
      </c>
      <c r="AS83" s="51">
        <f t="shared" ca="1" si="99"/>
        <v>30.202580171455626</v>
      </c>
      <c r="AT83" s="51">
        <f t="shared" ca="1" si="99"/>
        <v>19.630312537040815</v>
      </c>
      <c r="AU83" s="51">
        <f t="shared" ca="1" si="99"/>
        <v>11.665863717194522</v>
      </c>
      <c r="AV83" s="51">
        <f t="shared" ca="1" si="99"/>
        <v>4.8833763951222044</v>
      </c>
      <c r="AW83" s="51">
        <f t="shared" ca="1" si="99"/>
        <v>0</v>
      </c>
      <c r="AX83" s="51">
        <f t="shared" ca="1" si="99"/>
        <v>0</v>
      </c>
      <c r="AY83" s="51">
        <f t="shared" ca="1" si="99"/>
        <v>0</v>
      </c>
      <c r="AZ83" s="51">
        <f t="shared" ca="1" si="99"/>
        <v>0</v>
      </c>
      <c r="BA83" s="51">
        <f t="shared" ca="1" si="99"/>
        <v>0</v>
      </c>
      <c r="BB83" s="51">
        <f t="shared" ca="1" si="99"/>
        <v>0</v>
      </c>
      <c r="BC83" s="51">
        <f t="shared" ca="1" si="99"/>
        <v>0</v>
      </c>
      <c r="BD83" s="51">
        <f t="shared" ca="1" si="99"/>
        <v>0</v>
      </c>
      <c r="BE83" s="51">
        <f t="shared" ca="1" si="99"/>
        <v>0</v>
      </c>
      <c r="BF83" s="51">
        <f t="shared" ca="1" si="99"/>
        <v>0</v>
      </c>
      <c r="BG83" s="51">
        <f t="shared" ca="1" si="99"/>
        <v>0</v>
      </c>
      <c r="BH83" s="51">
        <f t="shared" ca="1" si="99"/>
        <v>0</v>
      </c>
      <c r="BI83" s="51">
        <f t="shared" ca="1" si="99"/>
        <v>0</v>
      </c>
      <c r="BJ83" s="51">
        <f t="shared" ca="1" si="99"/>
        <v>0</v>
      </c>
      <c r="BK83" s="51">
        <f t="shared" ca="1" si="99"/>
        <v>0</v>
      </c>
      <c r="BL83" s="51">
        <f t="shared" ca="1" si="99"/>
        <v>0</v>
      </c>
      <c r="BM83" s="51">
        <f t="shared" ref="BM83:BW83" ca="1" si="100">BM77*BM$17</f>
        <v>0</v>
      </c>
      <c r="BN83" s="51">
        <f t="shared" ca="1" si="100"/>
        <v>0</v>
      </c>
      <c r="BO83" s="51">
        <f t="shared" ca="1" si="100"/>
        <v>0</v>
      </c>
      <c r="BP83" s="51">
        <f t="shared" ca="1" si="100"/>
        <v>0</v>
      </c>
      <c r="BQ83" s="51">
        <f t="shared" ca="1" si="100"/>
        <v>0</v>
      </c>
      <c r="BR83" s="51">
        <f t="shared" ca="1" si="100"/>
        <v>0</v>
      </c>
      <c r="BS83" s="51">
        <f t="shared" ca="1" si="100"/>
        <v>0</v>
      </c>
      <c r="BT83" s="51">
        <f t="shared" ca="1" si="100"/>
        <v>0</v>
      </c>
      <c r="BU83" s="51">
        <f t="shared" ca="1" si="100"/>
        <v>0</v>
      </c>
      <c r="BV83" s="51">
        <f t="shared" ca="1" si="100"/>
        <v>0</v>
      </c>
      <c r="BW83" s="51">
        <f t="shared" ca="1" si="100"/>
        <v>0</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54DFD-7B42-4671-A7FB-B35EF02493F3}">
  <sheetPr>
    <tabColor theme="8" tint="0.79998168889431442"/>
  </sheetPr>
  <dimension ref="A1:BW71"/>
  <sheetViews>
    <sheetView showGridLines="0" workbookViewId="0">
      <pane xSplit="2" ySplit="2" topLeftCell="C3" activePane="bottomRight" state="frozen"/>
      <selection pane="topRight" activeCell="C1" sqref="C1"/>
      <selection pane="bottomLeft" activeCell="A3" sqref="A3"/>
      <selection pane="bottomRight" activeCell="A2" sqref="A2"/>
    </sheetView>
  </sheetViews>
  <sheetFormatPr defaultRowHeight="14.4" x14ac:dyDescent="0.3"/>
  <cols>
    <col min="1" max="1" width="24.109375" bestFit="1" customWidth="1"/>
    <col min="2" max="2" width="24.109375" customWidth="1"/>
    <col min="3" max="31" width="9.77734375" customWidth="1"/>
    <col min="32" max="32" width="10" bestFit="1" customWidth="1"/>
    <col min="33" max="33" width="12.6640625" bestFit="1" customWidth="1"/>
    <col min="34" max="61" width="9" bestFit="1" customWidth="1"/>
    <col min="62" max="62" width="9.109375" bestFit="1" customWidth="1"/>
    <col min="63" max="75" width="9" bestFit="1" customWidth="1"/>
  </cols>
  <sheetData>
    <row r="1" spans="1:75" x14ac:dyDescent="0.3">
      <c r="C1" s="3" t="str">
        <f>'Receita Líquida - O&amp;G'!C1</f>
        <v>1T18</v>
      </c>
      <c r="D1" s="3" t="str">
        <f>'Receita Líquida - O&amp;G'!D1</f>
        <v>2T18</v>
      </c>
      <c r="E1" s="3" t="str">
        <f>'Receita Líquida - O&amp;G'!E1</f>
        <v>3T18</v>
      </c>
      <c r="F1" s="3" t="str">
        <f>'Receita Líquida - O&amp;G'!F1</f>
        <v>4T18</v>
      </c>
      <c r="G1" s="3">
        <f>'Receita Líquida - O&amp;G'!G1</f>
        <v>2018</v>
      </c>
      <c r="H1" s="3" t="str">
        <f>'Receita Líquida - O&amp;G'!H1</f>
        <v>1T19</v>
      </c>
      <c r="I1" s="3" t="str">
        <f>'Receita Líquida - O&amp;G'!I1</f>
        <v>2T19</v>
      </c>
      <c r="J1" s="3" t="str">
        <f>'Receita Líquida - O&amp;G'!J1</f>
        <v>3T19</v>
      </c>
      <c r="K1" s="3" t="str">
        <f>'Receita Líquida - O&amp;G'!K1</f>
        <v>4T19</v>
      </c>
      <c r="L1" s="3">
        <f>'Receita Líquida - O&amp;G'!L1</f>
        <v>2019</v>
      </c>
      <c r="M1" s="3" t="str">
        <f>'Receita Líquida - O&amp;G'!M1</f>
        <v>1T20</v>
      </c>
      <c r="N1" s="3" t="str">
        <f>'Receita Líquida - O&amp;G'!N1</f>
        <v>2T20</v>
      </c>
      <c r="O1" s="3" t="str">
        <f>'Receita Líquida - O&amp;G'!O1</f>
        <v>3T20</v>
      </c>
      <c r="P1" s="3" t="str">
        <f>'Receita Líquida - O&amp;G'!P1</f>
        <v>4T20</v>
      </c>
      <c r="Q1" s="3">
        <f>'Receita Líquida - O&amp;G'!Q1</f>
        <v>2020</v>
      </c>
      <c r="R1" s="3" t="str">
        <f>'Receita Líquida - O&amp;G'!R1</f>
        <v>1T21</v>
      </c>
      <c r="S1" s="3" t="str">
        <f>'Receita Líquida - O&amp;G'!S1</f>
        <v>2T21</v>
      </c>
      <c r="T1" s="3" t="str">
        <f>'Receita Líquida - O&amp;G'!T1</f>
        <v>3T21</v>
      </c>
      <c r="U1" s="3" t="str">
        <f>'Receita Líquida - O&amp;G'!U1</f>
        <v>4T21</v>
      </c>
      <c r="V1" s="3">
        <f>'Receita Líquida - O&amp;G'!V1</f>
        <v>2021</v>
      </c>
      <c r="W1" s="3" t="str">
        <f>'Receita Líquida - O&amp;G'!W1</f>
        <v>1T22</v>
      </c>
      <c r="X1" s="3" t="str">
        <f>'Receita Líquida - O&amp;G'!X1</f>
        <v>2T22</v>
      </c>
      <c r="Y1" s="3" t="str">
        <f>'Receita Líquida - O&amp;G'!Y1</f>
        <v>3T22</v>
      </c>
      <c r="Z1" s="3" t="str">
        <f>'Receita Líquida - O&amp;G'!Z1</f>
        <v>4T22</v>
      </c>
      <c r="AA1" s="3">
        <f>'Receita Líquida - O&amp;G'!AA1</f>
        <v>2022</v>
      </c>
      <c r="AB1" s="3" t="str">
        <f>'Receita Líquida - O&amp;G'!AB1</f>
        <v>1T23</v>
      </c>
      <c r="AC1" s="3" t="str">
        <f>'Receita Líquida - O&amp;G'!AC1</f>
        <v>2T23</v>
      </c>
      <c r="AD1" s="3" t="str">
        <f>'Receita Líquida - O&amp;G'!AD1</f>
        <v>3T23</v>
      </c>
      <c r="AE1" s="3" t="str">
        <f>'Receita Líquida - O&amp;G'!AE1</f>
        <v>4T23</v>
      </c>
      <c r="AF1" s="3">
        <v>2023</v>
      </c>
      <c r="AG1" s="3">
        <f>AF1+1</f>
        <v>2024</v>
      </c>
      <c r="AH1" s="3">
        <f t="shared" ref="AH1:BL1" si="0">AG1+1</f>
        <v>2025</v>
      </c>
      <c r="AI1" s="3">
        <f t="shared" si="0"/>
        <v>2026</v>
      </c>
      <c r="AJ1" s="3">
        <f t="shared" si="0"/>
        <v>2027</v>
      </c>
      <c r="AK1" s="3">
        <f t="shared" si="0"/>
        <v>2028</v>
      </c>
      <c r="AL1" s="3">
        <f t="shared" si="0"/>
        <v>2029</v>
      </c>
      <c r="AM1" s="3">
        <f t="shared" si="0"/>
        <v>2030</v>
      </c>
      <c r="AN1" s="3">
        <f t="shared" si="0"/>
        <v>2031</v>
      </c>
      <c r="AO1" s="3">
        <f t="shared" si="0"/>
        <v>2032</v>
      </c>
      <c r="AP1" s="3">
        <f t="shared" si="0"/>
        <v>2033</v>
      </c>
      <c r="AQ1" s="3">
        <f t="shared" si="0"/>
        <v>2034</v>
      </c>
      <c r="AR1" s="3">
        <f t="shared" si="0"/>
        <v>2035</v>
      </c>
      <c r="AS1" s="3">
        <f t="shared" si="0"/>
        <v>2036</v>
      </c>
      <c r="AT1" s="3">
        <f t="shared" si="0"/>
        <v>2037</v>
      </c>
      <c r="AU1" s="3">
        <f t="shared" si="0"/>
        <v>2038</v>
      </c>
      <c r="AV1" s="3">
        <f t="shared" si="0"/>
        <v>2039</v>
      </c>
      <c r="AW1" s="3">
        <f t="shared" si="0"/>
        <v>2040</v>
      </c>
      <c r="AX1" s="3">
        <f t="shared" si="0"/>
        <v>2041</v>
      </c>
      <c r="AY1" s="3">
        <f t="shared" si="0"/>
        <v>2042</v>
      </c>
      <c r="AZ1" s="3">
        <f t="shared" si="0"/>
        <v>2043</v>
      </c>
      <c r="BA1" s="3">
        <f t="shared" si="0"/>
        <v>2044</v>
      </c>
      <c r="BB1" s="3">
        <f t="shared" si="0"/>
        <v>2045</v>
      </c>
      <c r="BC1" s="3">
        <f t="shared" si="0"/>
        <v>2046</v>
      </c>
      <c r="BD1" s="3">
        <f t="shared" si="0"/>
        <v>2047</v>
      </c>
      <c r="BE1" s="3">
        <f t="shared" si="0"/>
        <v>2048</v>
      </c>
      <c r="BF1" s="3">
        <f t="shared" si="0"/>
        <v>2049</v>
      </c>
      <c r="BG1" s="3">
        <f t="shared" si="0"/>
        <v>2050</v>
      </c>
      <c r="BH1" s="3">
        <f t="shared" si="0"/>
        <v>2051</v>
      </c>
      <c r="BI1" s="3">
        <f t="shared" si="0"/>
        <v>2052</v>
      </c>
      <c r="BJ1" s="3">
        <f t="shared" si="0"/>
        <v>2053</v>
      </c>
      <c r="BK1" s="3">
        <f t="shared" si="0"/>
        <v>2054</v>
      </c>
      <c r="BL1" s="3">
        <f t="shared" si="0"/>
        <v>2055</v>
      </c>
      <c r="BM1" s="3">
        <f t="shared" ref="BM1:BW1" si="1">BL1+1</f>
        <v>2056</v>
      </c>
      <c r="BN1" s="3">
        <f t="shared" si="1"/>
        <v>2057</v>
      </c>
      <c r="BO1" s="3">
        <f t="shared" si="1"/>
        <v>2058</v>
      </c>
      <c r="BP1" s="3">
        <f t="shared" si="1"/>
        <v>2059</v>
      </c>
      <c r="BQ1" s="3">
        <f t="shared" si="1"/>
        <v>2060</v>
      </c>
      <c r="BR1" s="3">
        <f t="shared" si="1"/>
        <v>2061</v>
      </c>
      <c r="BS1" s="3">
        <f t="shared" si="1"/>
        <v>2062</v>
      </c>
      <c r="BT1" s="3">
        <f t="shared" si="1"/>
        <v>2063</v>
      </c>
      <c r="BU1" s="3">
        <f t="shared" si="1"/>
        <v>2064</v>
      </c>
      <c r="BV1" s="3">
        <f t="shared" si="1"/>
        <v>2065</v>
      </c>
      <c r="BW1" s="3">
        <f t="shared" si="1"/>
        <v>2066</v>
      </c>
    </row>
    <row r="3" spans="1:75" s="278" customFormat="1" ht="13.8" x14ac:dyDescent="0.3">
      <c r="A3" s="278" t="s">
        <v>1195</v>
      </c>
    </row>
    <row r="5" spans="1:75" x14ac:dyDescent="0.3">
      <c r="A5" s="6" t="s">
        <v>717</v>
      </c>
      <c r="B5" s="11"/>
      <c r="C5" s="11"/>
      <c r="D5" s="11"/>
      <c r="E5" s="11"/>
      <c r="F5" s="11"/>
      <c r="G5" s="11"/>
      <c r="H5" s="48">
        <f>'Receita Líquida - O&amp;G'!H33+'Receita Líquida - O&amp;G'!H73</f>
        <v>35.751538461538466</v>
      </c>
      <c r="I5" s="48">
        <f>'Receita Líquida - O&amp;G'!I33+'Receita Líquida - O&amp;G'!I73</f>
        <v>142.30519480519482</v>
      </c>
      <c r="J5" s="48">
        <f>'Receita Líquida - O&amp;G'!J33+'Receita Líquida - O&amp;G'!J73</f>
        <v>95.92427884615384</v>
      </c>
      <c r="K5" s="48">
        <f>'Receita Líquida - O&amp;G'!K33+'Receita Líquida - O&amp;G'!K73</f>
        <v>138.80472636815921</v>
      </c>
      <c r="L5" s="48">
        <f>'Receita Líquida - O&amp;G'!L33+'Receita Líquida - O&amp;G'!L73</f>
        <v>412.8929064657878</v>
      </c>
      <c r="M5" s="48">
        <f>'Receita Líquida - O&amp;G'!M33+'Receita Líquida - O&amp;G'!M73</f>
        <v>42.915769230769229</v>
      </c>
      <c r="N5" s="48">
        <f>'Receita Líquida - O&amp;G'!N33+'Receita Líquida - O&amp;G'!N73</f>
        <v>57.091956124314443</v>
      </c>
      <c r="O5" s="48">
        <f>'Receita Líquida - O&amp;G'!O33+'Receita Líquida - O&amp;G'!O73</f>
        <v>87.111408199643492</v>
      </c>
      <c r="P5" s="48">
        <f>'Receita Líquida - O&amp;G'!P33+'Receita Líquida - O&amp;G'!P73</f>
        <v>169.56358381502889</v>
      </c>
      <c r="Q5" s="48">
        <f>'Receita Líquida - O&amp;G'!Q33+'Receita Líquida - O&amp;G'!Q73</f>
        <v>354.76199347927337</v>
      </c>
      <c r="R5" s="48">
        <f>'Receita Líquida - O&amp;G'!R33+'Receita Líquida - O&amp;G'!R73</f>
        <v>114.97087719298244</v>
      </c>
      <c r="S5" s="48">
        <f>'Receita Líquida - O&amp;G'!S33+'Receita Líquida - O&amp;G'!S73</f>
        <v>204.56739999999999</v>
      </c>
      <c r="T5" s="48">
        <f>'Receita Líquida - O&amp;G'!T33+'Receita Líquida - O&amp;G'!T73</f>
        <v>172.70533088235294</v>
      </c>
      <c r="U5" s="48">
        <f>'Receita Líquida - O&amp;G'!U33+'Receita Líquida - O&amp;G'!U73</f>
        <v>318.69444444444446</v>
      </c>
      <c r="V5" s="48">
        <f>'Receita Líquida - O&amp;G'!V33+'Receita Líquida - O&amp;G'!V73</f>
        <v>810.88199999999995</v>
      </c>
      <c r="W5" s="48">
        <f>'Receita Líquida - O&amp;G'!W33+'Receita Líquida - O&amp;G'!W73</f>
        <v>309.67599999999999</v>
      </c>
      <c r="X5" s="48">
        <f>'Receita Líquida - O&amp;G'!X33+'Receita Líquida - O&amp;G'!X73</f>
        <v>377.33699999999999</v>
      </c>
      <c r="Y5" s="48">
        <f>'Receita Líquida - O&amp;G'!Y33+'Receita Líquida - O&amp;G'!Y73</f>
        <v>378.15499999999997</v>
      </c>
      <c r="Z5" s="48">
        <f>'Receita Líquida - O&amp;G'!Z33+'Receita Líquida - O&amp;G'!Z73</f>
        <v>184.49100000000001</v>
      </c>
      <c r="AA5" s="48">
        <f>'Receita Líquida - O&amp;G'!AA33+'Receita Líquida - O&amp;G'!AA73</f>
        <v>1249.6590000000001</v>
      </c>
      <c r="AB5" s="48">
        <f>'Receita Líquida - O&amp;G'!AB33+'Receita Líquida - O&amp;G'!AB73</f>
        <v>564.71600000000001</v>
      </c>
      <c r="AC5" s="48">
        <f>'Receita Líquida - O&amp;G'!AC33+'Receita Líquida - O&amp;G'!AC73</f>
        <v>532.49</v>
      </c>
      <c r="AD5" s="48">
        <f>'Receita Líquida - O&amp;G'!AD33+'Receita Líquida - O&amp;G'!AD73</f>
        <v>835.25300000000004</v>
      </c>
      <c r="AE5" s="48">
        <f>'Receita Líquida - O&amp;G'!AE33+'Receita Líquida - O&amp;G'!AE73</f>
        <v>690.65200000000004</v>
      </c>
      <c r="AF5" s="48">
        <f>'Receita Líquida - O&amp;G'!AF33+'Receita Líquida - O&amp;G'!AF73</f>
        <v>2623.1109999999999</v>
      </c>
      <c r="AG5" s="48">
        <f t="shared" ref="AG5:BL5" ca="1" si="2">SUM(AG6:AG9)</f>
        <v>3322.8022747931122</v>
      </c>
      <c r="AH5" s="48">
        <f t="shared" ca="1" si="2"/>
        <v>4064.6703560068627</v>
      </c>
      <c r="AI5" s="48">
        <f t="shared" ca="1" si="2"/>
        <v>4111.4890674404078</v>
      </c>
      <c r="AJ5" s="48">
        <f t="shared" ca="1" si="2"/>
        <v>4181.0429597101893</v>
      </c>
      <c r="AK5" s="48">
        <f t="shared" ca="1" si="2"/>
        <v>4030.047901429085</v>
      </c>
      <c r="AL5" s="48">
        <f t="shared" ca="1" si="2"/>
        <v>4035.1830748100656</v>
      </c>
      <c r="AM5" s="48">
        <f t="shared" ca="1" si="2"/>
        <v>3646.1358663882265</v>
      </c>
      <c r="AN5" s="48">
        <f t="shared" ca="1" si="2"/>
        <v>3089.5444428502542</v>
      </c>
      <c r="AO5" s="48">
        <f t="shared" ca="1" si="2"/>
        <v>2725.2564916599249</v>
      </c>
      <c r="AP5" s="48">
        <f t="shared" ca="1" si="2"/>
        <v>2429.0459855472845</v>
      </c>
      <c r="AQ5" s="48">
        <f t="shared" ca="1" si="2"/>
        <v>2181.842445941817</v>
      </c>
      <c r="AR5" s="48">
        <f t="shared" ca="1" si="2"/>
        <v>1935.7858466963717</v>
      </c>
      <c r="AS5" s="48">
        <f t="shared" ca="1" si="2"/>
        <v>1692.3593038659556</v>
      </c>
      <c r="AT5" s="48">
        <f t="shared" ca="1" si="2"/>
        <v>1486.1830808637387</v>
      </c>
      <c r="AU5" s="48">
        <f t="shared" ca="1" si="2"/>
        <v>1336.6590439447857</v>
      </c>
      <c r="AV5" s="48">
        <f t="shared" ca="1" si="2"/>
        <v>1208.318873284345</v>
      </c>
      <c r="AW5" s="48">
        <f t="shared" ca="1" si="2"/>
        <v>971.26783990088416</v>
      </c>
      <c r="AX5" s="48">
        <f t="shared" ca="1" si="2"/>
        <v>868.04175795398737</v>
      </c>
      <c r="AY5" s="48">
        <f t="shared" ca="1" si="2"/>
        <v>778.11846778937866</v>
      </c>
      <c r="AZ5" s="48">
        <f t="shared" ca="1" si="2"/>
        <v>694.2255719190415</v>
      </c>
      <c r="BA5" s="48">
        <f t="shared" ca="1" si="2"/>
        <v>628.99515093308639</v>
      </c>
      <c r="BB5" s="48">
        <f t="shared" ca="1" si="2"/>
        <v>557.43779803591178</v>
      </c>
      <c r="BC5" s="48">
        <f t="shared" ca="1" si="2"/>
        <v>515.25763622306044</v>
      </c>
      <c r="BD5" s="48">
        <f t="shared" ca="1" si="2"/>
        <v>481.82758464931192</v>
      </c>
      <c r="BE5" s="48">
        <f t="shared" ca="1" si="2"/>
        <v>453.41149760923429</v>
      </c>
      <c r="BF5" s="48">
        <f t="shared" ca="1" si="2"/>
        <v>405.27722030098857</v>
      </c>
      <c r="BG5" s="48">
        <f t="shared" ca="1" si="2"/>
        <v>376.91804373119436</v>
      </c>
      <c r="BH5" s="48">
        <f t="shared" ca="1" si="2"/>
        <v>357.99007388270348</v>
      </c>
      <c r="BI5" s="48">
        <f t="shared" ca="1" si="2"/>
        <v>229.0822361215188</v>
      </c>
      <c r="BJ5" s="48">
        <f t="shared" ca="1" si="2"/>
        <v>0</v>
      </c>
      <c r="BK5" s="48">
        <f t="shared" ca="1" si="2"/>
        <v>0</v>
      </c>
      <c r="BL5" s="48">
        <f t="shared" ca="1" si="2"/>
        <v>0</v>
      </c>
      <c r="BM5" s="48">
        <f t="shared" ref="BM5:BW5" ca="1" si="3">SUM(BM6:BM9)</f>
        <v>0</v>
      </c>
      <c r="BN5" s="48">
        <f t="shared" ca="1" si="3"/>
        <v>0</v>
      </c>
      <c r="BO5" s="48">
        <f t="shared" ca="1" si="3"/>
        <v>0</v>
      </c>
      <c r="BP5" s="48">
        <f t="shared" ca="1" si="3"/>
        <v>0</v>
      </c>
      <c r="BQ5" s="48">
        <f t="shared" ca="1" si="3"/>
        <v>0</v>
      </c>
      <c r="BR5" s="48">
        <f t="shared" ca="1" si="3"/>
        <v>0</v>
      </c>
      <c r="BS5" s="48">
        <f t="shared" ca="1" si="3"/>
        <v>0</v>
      </c>
      <c r="BT5" s="48">
        <f t="shared" ca="1" si="3"/>
        <v>0</v>
      </c>
      <c r="BU5" s="48">
        <f t="shared" ca="1" si="3"/>
        <v>0</v>
      </c>
      <c r="BV5" s="48">
        <f t="shared" ca="1" si="3"/>
        <v>0</v>
      </c>
      <c r="BW5" s="48">
        <f t="shared" ca="1" si="3"/>
        <v>0</v>
      </c>
    </row>
    <row r="6" spans="1:75" x14ac:dyDescent="0.3">
      <c r="A6" s="5" t="s">
        <v>66</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51">
        <f ca="1">'Receita Líquida - O&amp;G'!AG34+'Receita Líquida - O&amp;G'!AG74</f>
        <v>1888.933764756908</v>
      </c>
      <c r="AH6" s="51">
        <f ca="1">'Receita Líquida - O&amp;G'!AH34+'Receita Líquida - O&amp;G'!AH74</f>
        <v>2149.2791652702504</v>
      </c>
      <c r="AI6" s="51">
        <f ca="1">'Receita Líquida - O&amp;G'!AI34+'Receita Líquida - O&amp;G'!AI74</f>
        <v>1851.6573607830051</v>
      </c>
      <c r="AJ6" s="51">
        <f ca="1">'Receita Líquida - O&amp;G'!AJ34+'Receita Líquida - O&amp;G'!AJ74</f>
        <v>1637.9764648465825</v>
      </c>
      <c r="AK6" s="51">
        <f ca="1">'Receita Líquida - O&amp;G'!AK34+'Receita Líquida - O&amp;G'!AK74</f>
        <v>1471.78374040821</v>
      </c>
      <c r="AL6" s="51">
        <f ca="1">'Receita Líquida - O&amp;G'!AL34+'Receita Líquida - O&amp;G'!AL74</f>
        <v>1277.4428942514162</v>
      </c>
      <c r="AM6" s="51">
        <f ca="1">'Receita Líquida - O&amp;G'!AM34+'Receita Líquida - O&amp;G'!AM74</f>
        <v>1042.7258641736014</v>
      </c>
      <c r="AN6" s="51">
        <f ca="1">'Receita Líquida - O&amp;G'!AN34+'Receita Líquida - O&amp;G'!AN74</f>
        <v>869.12860543994464</v>
      </c>
      <c r="AO6" s="51">
        <f ca="1">'Receita Líquida - O&amp;G'!AO34+'Receita Líquida - O&amp;G'!AO74</f>
        <v>779.50341111936723</v>
      </c>
      <c r="AP6" s="51">
        <f ca="1">'Receita Líquida - O&amp;G'!AP34+'Receita Líquida - O&amp;G'!AP74</f>
        <v>728.28390419233369</v>
      </c>
      <c r="AQ6" s="51">
        <f ca="1">'Receita Líquida - O&amp;G'!AQ34+'Receita Líquida - O&amp;G'!AQ74</f>
        <v>687.43787904268186</v>
      </c>
      <c r="AR6" s="51">
        <f ca="1">'Receita Líquida - O&amp;G'!AR34+'Receita Líquida - O&amp;G'!AR74</f>
        <v>632.33704461428363</v>
      </c>
      <c r="AS6" s="51">
        <f ca="1">'Receita Líquida - O&amp;G'!AS34+'Receita Líquida - O&amp;G'!AS74</f>
        <v>545.27503816805472</v>
      </c>
      <c r="AT6" s="51">
        <f ca="1">'Receita Líquida - O&amp;G'!AT34+'Receita Líquida - O&amp;G'!AT74</f>
        <v>480.01411565022335</v>
      </c>
      <c r="AU6" s="51">
        <f ca="1">'Receita Líquida - O&amp;G'!AU34+'Receita Líquida - O&amp;G'!AU74</f>
        <v>435.67362877641409</v>
      </c>
      <c r="AV6" s="51">
        <f ca="1">'Receita Líquida - O&amp;G'!AV34+'Receita Líquida - O&amp;G'!AV74</f>
        <v>393.08468101205131</v>
      </c>
      <c r="AW6" s="51">
        <f ca="1">'Receita Líquida - O&amp;G'!AW34+'Receita Líquida - O&amp;G'!AW74</f>
        <v>362.73452478126546</v>
      </c>
      <c r="AX6" s="51">
        <f ca="1">'Receita Líquida - O&amp;G'!AX34+'Receita Líquida - O&amp;G'!AX74</f>
        <v>334.49747714914696</v>
      </c>
      <c r="AY6" s="51">
        <f ca="1">'Receita Líquida - O&amp;G'!AY34+'Receita Líquida - O&amp;G'!AY74</f>
        <v>310.77149330484696</v>
      </c>
      <c r="AZ6" s="51">
        <f ca="1">'Receita Líquida - O&amp;G'!AZ34+'Receita Líquida - O&amp;G'!AZ74</f>
        <v>290.00931268831039</v>
      </c>
      <c r="BA6" s="51">
        <f ca="1">'Receita Líquida - O&amp;G'!BA34+'Receita Líquida - O&amp;G'!BA74</f>
        <v>273.10783972094043</v>
      </c>
      <c r="BB6" s="51">
        <f ca="1">'Receita Líquida - O&amp;G'!BB34+'Receita Líquida - O&amp;G'!BB74</f>
        <v>253.74779594424891</v>
      </c>
      <c r="BC6" s="51">
        <f ca="1">'Receita Líquida - O&amp;G'!BC34+'Receita Líquida - O&amp;G'!BC74</f>
        <v>239.94559989523853</v>
      </c>
      <c r="BD6" s="51">
        <f ca="1">'Receita Líquida - O&amp;G'!BD34+'Receita Líquida - O&amp;G'!BD74</f>
        <v>228.22745124711091</v>
      </c>
      <c r="BE6" s="51">
        <f ca="1">'Receita Líquida - O&amp;G'!BE34+'Receita Líquida - O&amp;G'!BE74</f>
        <v>218.36466718841928</v>
      </c>
      <c r="BF6" s="51">
        <f ca="1">'Receita Líquida - O&amp;G'!BF34+'Receita Líquida - O&amp;G'!BF74</f>
        <v>207.92113962723403</v>
      </c>
      <c r="BG6" s="51">
        <f ca="1">'Receita Líquida - O&amp;G'!BG34+'Receita Líquida - O&amp;G'!BG74</f>
        <v>198.90932475352759</v>
      </c>
      <c r="BH6" s="51">
        <f ca="1">'Receita Líquida - O&amp;G'!BH34+'Receita Líquida - O&amp;G'!BH74</f>
        <v>190.63919021898462</v>
      </c>
      <c r="BI6" s="51">
        <f ca="1">'Receita Líquida - O&amp;G'!BI34+'Receita Líquida - O&amp;G'!BI74</f>
        <v>132.28779372677582</v>
      </c>
      <c r="BJ6" s="51">
        <f ca="1">'Receita Líquida - O&amp;G'!BJ34+'Receita Líquida - O&amp;G'!BJ74</f>
        <v>0</v>
      </c>
      <c r="BK6" s="51">
        <f ca="1">'Receita Líquida - O&amp;G'!BK34+'Receita Líquida - O&amp;G'!BK74</f>
        <v>0</v>
      </c>
      <c r="BL6" s="51">
        <f ca="1">'Receita Líquida - O&amp;G'!BL34+'Receita Líquida - O&amp;G'!BL74</f>
        <v>0</v>
      </c>
      <c r="BM6" s="51">
        <f ca="1">'Receita Líquida - O&amp;G'!BM34+'Receita Líquida - O&amp;G'!BM74</f>
        <v>0</v>
      </c>
      <c r="BN6" s="51">
        <f ca="1">'Receita Líquida - O&amp;G'!BN34+'Receita Líquida - O&amp;G'!BN74</f>
        <v>0</v>
      </c>
      <c r="BO6" s="51">
        <f ca="1">'Receita Líquida - O&amp;G'!BO34+'Receita Líquida - O&amp;G'!BO74</f>
        <v>0</v>
      </c>
      <c r="BP6" s="51">
        <f ca="1">'Receita Líquida - O&amp;G'!BP34+'Receita Líquida - O&amp;G'!BP74</f>
        <v>0</v>
      </c>
      <c r="BQ6" s="51">
        <f ca="1">'Receita Líquida - O&amp;G'!BQ34+'Receita Líquida - O&amp;G'!BQ74</f>
        <v>0</v>
      </c>
      <c r="BR6" s="51">
        <f ca="1">'Receita Líquida - O&amp;G'!BR34+'Receita Líquida - O&amp;G'!BR74</f>
        <v>0</v>
      </c>
      <c r="BS6" s="51">
        <f ca="1">'Receita Líquida - O&amp;G'!BS34+'Receita Líquida - O&amp;G'!BS74</f>
        <v>0</v>
      </c>
      <c r="BT6" s="51">
        <f ca="1">'Receita Líquida - O&amp;G'!BT34+'Receita Líquida - O&amp;G'!BT74</f>
        <v>0</v>
      </c>
      <c r="BU6" s="51">
        <f ca="1">'Receita Líquida - O&amp;G'!BU34+'Receita Líquida - O&amp;G'!BU74</f>
        <v>0</v>
      </c>
      <c r="BV6" s="51">
        <f ca="1">'Receita Líquida - O&amp;G'!BV34+'Receita Líquida - O&amp;G'!BV74</f>
        <v>0</v>
      </c>
      <c r="BW6" s="51">
        <f ca="1">'Receita Líquida - O&amp;G'!BW34+'Receita Líquida - O&amp;G'!BW74</f>
        <v>0</v>
      </c>
    </row>
    <row r="7" spans="1:75" x14ac:dyDescent="0.3">
      <c r="A7" s="5" t="s">
        <v>67</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51">
        <f>'Receita Líquida - O&amp;G'!AG35+'Receita Líquida - O&amp;G'!AG75</f>
        <v>0</v>
      </c>
      <c r="AH7" s="51">
        <f>'Receita Líquida - O&amp;G'!AH35+'Receita Líquida - O&amp;G'!AH75</f>
        <v>0</v>
      </c>
      <c r="AI7" s="51">
        <f>'Receita Líquida - O&amp;G'!AI35+'Receita Líquida - O&amp;G'!AI75</f>
        <v>0</v>
      </c>
      <c r="AJ7" s="51">
        <f>'Receita Líquida - O&amp;G'!AJ35+'Receita Líquida - O&amp;G'!AJ75</f>
        <v>0</v>
      </c>
      <c r="AK7" s="51">
        <f>'Receita Líquida - O&amp;G'!AK35+'Receita Líquida - O&amp;G'!AK75</f>
        <v>0</v>
      </c>
      <c r="AL7" s="51">
        <f>'Receita Líquida - O&amp;G'!AL35+'Receita Líquida - O&amp;G'!AL75</f>
        <v>0</v>
      </c>
      <c r="AM7" s="51">
        <f>'Receita Líquida - O&amp;G'!AM35+'Receita Líquida - O&amp;G'!AM75</f>
        <v>0</v>
      </c>
      <c r="AN7" s="51">
        <f>'Receita Líquida - O&amp;G'!AN35+'Receita Líquida - O&amp;G'!AN75</f>
        <v>0</v>
      </c>
      <c r="AO7" s="51">
        <f>'Receita Líquida - O&amp;G'!AO35+'Receita Líquida - O&amp;G'!AO75</f>
        <v>0</v>
      </c>
      <c r="AP7" s="51">
        <f>'Receita Líquida - O&amp;G'!AP35+'Receita Líquida - O&amp;G'!AP75</f>
        <v>0</v>
      </c>
      <c r="AQ7" s="51">
        <f>'Receita Líquida - O&amp;G'!AQ35+'Receita Líquida - O&amp;G'!AQ75</f>
        <v>0</v>
      </c>
      <c r="AR7" s="51">
        <f>'Receita Líquida - O&amp;G'!AR35+'Receita Líquida - O&amp;G'!AR75</f>
        <v>0</v>
      </c>
      <c r="AS7" s="51">
        <f>'Receita Líquida - O&amp;G'!AS35+'Receita Líquida - O&amp;G'!AS75</f>
        <v>0</v>
      </c>
      <c r="AT7" s="51">
        <f>'Receita Líquida - O&amp;G'!AT35+'Receita Líquida - O&amp;G'!AT75</f>
        <v>0</v>
      </c>
      <c r="AU7" s="51">
        <f>'Receita Líquida - O&amp;G'!AU35+'Receita Líquida - O&amp;G'!AU75</f>
        <v>0</v>
      </c>
      <c r="AV7" s="51">
        <f>'Receita Líquida - O&amp;G'!AV35+'Receita Líquida - O&amp;G'!AV75</f>
        <v>0</v>
      </c>
      <c r="AW7" s="51">
        <f>'Receita Líquida - O&amp;G'!AW35+'Receita Líquida - O&amp;G'!AW75</f>
        <v>0</v>
      </c>
      <c r="AX7" s="51">
        <f>'Receita Líquida - O&amp;G'!AX35+'Receita Líquida - O&amp;G'!AX75</f>
        <v>0</v>
      </c>
      <c r="AY7" s="51">
        <f>'Receita Líquida - O&amp;G'!AY35+'Receita Líquida - O&amp;G'!AY75</f>
        <v>0</v>
      </c>
      <c r="AZ7" s="51">
        <f>'Receita Líquida - O&amp;G'!AZ35+'Receita Líquida - O&amp;G'!AZ75</f>
        <v>0</v>
      </c>
      <c r="BA7" s="51">
        <f>'Receita Líquida - O&amp;G'!BA35+'Receita Líquida - O&amp;G'!BA75</f>
        <v>0</v>
      </c>
      <c r="BB7" s="51">
        <f>'Receita Líquida - O&amp;G'!BB35+'Receita Líquida - O&amp;G'!BB75</f>
        <v>0</v>
      </c>
      <c r="BC7" s="51">
        <f>'Receita Líquida - O&amp;G'!BC35+'Receita Líquida - O&amp;G'!BC75</f>
        <v>0</v>
      </c>
      <c r="BD7" s="51">
        <f>'Receita Líquida - O&amp;G'!BD35+'Receita Líquida - O&amp;G'!BD75</f>
        <v>0</v>
      </c>
      <c r="BE7" s="51">
        <f>'Receita Líquida - O&amp;G'!BE35+'Receita Líquida - O&amp;G'!BE75</f>
        <v>0</v>
      </c>
      <c r="BF7" s="51">
        <f>'Receita Líquida - O&amp;G'!BF35+'Receita Líquida - O&amp;G'!BF75</f>
        <v>0</v>
      </c>
      <c r="BG7" s="51">
        <f>'Receita Líquida - O&amp;G'!BG35+'Receita Líquida - O&amp;G'!BG75</f>
        <v>0</v>
      </c>
      <c r="BH7" s="51">
        <f>'Receita Líquida - O&amp;G'!BH35+'Receita Líquida - O&amp;G'!BH75</f>
        <v>0</v>
      </c>
      <c r="BI7" s="51">
        <f>'Receita Líquida - O&amp;G'!BI35+'Receita Líquida - O&amp;G'!BI75</f>
        <v>0</v>
      </c>
      <c r="BJ7" s="51">
        <f>'Receita Líquida - O&amp;G'!BJ35+'Receita Líquida - O&amp;G'!BJ75</f>
        <v>0</v>
      </c>
      <c r="BK7" s="51">
        <f>'Receita Líquida - O&amp;G'!BK35+'Receita Líquida - O&amp;G'!BK75</f>
        <v>0</v>
      </c>
      <c r="BL7" s="51">
        <f>'Receita Líquida - O&amp;G'!BL35+'Receita Líquida - O&amp;G'!BL75</f>
        <v>0</v>
      </c>
      <c r="BM7" s="51">
        <f>'Receita Líquida - O&amp;G'!BM35+'Receita Líquida - O&amp;G'!BM75</f>
        <v>0</v>
      </c>
      <c r="BN7" s="51">
        <f>'Receita Líquida - O&amp;G'!BN35+'Receita Líquida - O&amp;G'!BN75</f>
        <v>0</v>
      </c>
      <c r="BO7" s="51">
        <f>'Receita Líquida - O&amp;G'!BO35+'Receita Líquida - O&amp;G'!BO75</f>
        <v>0</v>
      </c>
      <c r="BP7" s="51">
        <f>'Receita Líquida - O&amp;G'!BP35+'Receita Líquida - O&amp;G'!BP75</f>
        <v>0</v>
      </c>
      <c r="BQ7" s="51">
        <f>'Receita Líquida - O&amp;G'!BQ35+'Receita Líquida - O&amp;G'!BQ75</f>
        <v>0</v>
      </c>
      <c r="BR7" s="51">
        <f>'Receita Líquida - O&amp;G'!BR35+'Receita Líquida - O&amp;G'!BR75</f>
        <v>0</v>
      </c>
      <c r="BS7" s="51">
        <f>'Receita Líquida - O&amp;G'!BS35+'Receita Líquida - O&amp;G'!BS75</f>
        <v>0</v>
      </c>
      <c r="BT7" s="51">
        <f>'Receita Líquida - O&amp;G'!BT35+'Receita Líquida - O&amp;G'!BT75</f>
        <v>0</v>
      </c>
      <c r="BU7" s="51">
        <f>'Receita Líquida - O&amp;G'!BU35+'Receita Líquida - O&amp;G'!BU75</f>
        <v>0</v>
      </c>
      <c r="BV7" s="51">
        <f>'Receita Líquida - O&amp;G'!BV35+'Receita Líquida - O&amp;G'!BV75</f>
        <v>0</v>
      </c>
      <c r="BW7" s="51">
        <f>'Receita Líquida - O&amp;G'!BW35+'Receita Líquida - O&amp;G'!BW75</f>
        <v>0</v>
      </c>
    </row>
    <row r="8" spans="1:75" x14ac:dyDescent="0.3">
      <c r="A8" s="5" t="s">
        <v>69</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51">
        <f ca="1">'Receita Líquida - O&amp;G'!AG36+'Receita Líquida - O&amp;G'!AG76</f>
        <v>468.51541777777777</v>
      </c>
      <c r="AH8" s="51">
        <f ca="1">'Receita Líquida - O&amp;G'!AH36+'Receita Líquida - O&amp;G'!AH76</f>
        <v>490.3490666666666</v>
      </c>
      <c r="AI8" s="51">
        <f ca="1">'Receita Líquida - O&amp;G'!AI36+'Receita Líquida - O&amp;G'!AI76</f>
        <v>459.56265480000002</v>
      </c>
      <c r="AJ8" s="51">
        <f ca="1">'Receita Líquida - O&amp;G'!AJ36+'Receita Líquida - O&amp;G'!AJ76</f>
        <v>430.48868635733339</v>
      </c>
      <c r="AK8" s="51">
        <f ca="1">'Receita Líquida - O&amp;G'!AK36+'Receita Líquida - O&amp;G'!AK76</f>
        <v>376.78040093311995</v>
      </c>
      <c r="AL8" s="51">
        <f ca="1">'Receita Líquida - O&amp;G'!AL36+'Receita Líquida - O&amp;G'!AL76</f>
        <v>332.04348857296316</v>
      </c>
      <c r="AM8" s="51">
        <f ca="1">'Receita Líquida - O&amp;G'!AM36+'Receita Líquida - O&amp;G'!AM76</f>
        <v>297.06274590670085</v>
      </c>
      <c r="AN8" s="51">
        <f ca="1">'Receita Líquida - O&amp;G'!AN36+'Receita Líquida - O&amp;G'!AN76</f>
        <v>265.23103255823816</v>
      </c>
      <c r="AO8" s="51">
        <f ca="1">'Receita Líquida - O&amp;G'!AO36+'Receita Líquida - O&amp;G'!AO76</f>
        <v>243.41428446660558</v>
      </c>
      <c r="AP8" s="51">
        <f ca="1">'Receita Líquida - O&amp;G'!AP36+'Receita Líquida - O&amp;G'!AP76</f>
        <v>221.86364486357886</v>
      </c>
      <c r="AQ8" s="51">
        <f ca="1">'Receita Líquida - O&amp;G'!AQ36+'Receita Líquida - O&amp;G'!AQ76</f>
        <v>204.29160156964551</v>
      </c>
      <c r="AR8" s="51">
        <f ca="1">'Receita Líquida - O&amp;G'!AR36+'Receita Líquida - O&amp;G'!AR76</f>
        <v>187.29504822634772</v>
      </c>
      <c r="AS8" s="51">
        <f ca="1">'Receita Líquida - O&amp;G'!AS36+'Receita Líquida - O&amp;G'!AS76</f>
        <v>172.61940549248453</v>
      </c>
      <c r="AT8" s="51">
        <f ca="1">'Receita Líquida - O&amp;G'!AT36+'Receita Líquida - O&amp;G'!AT76</f>
        <v>158.7041677027843</v>
      </c>
      <c r="AU8" s="51">
        <f ca="1">'Receita Líquida - O&amp;G'!AU36+'Receita Líquida - O&amp;G'!AU76</f>
        <v>145.61406828556312</v>
      </c>
      <c r="AV8" s="51">
        <f ca="1">'Receita Líquida - O&amp;G'!AV36+'Receita Líquida - O&amp;G'!AV76</f>
        <v>134.81862152404611</v>
      </c>
      <c r="AW8" s="51">
        <f ca="1">'Receita Líquida - O&amp;G'!AW36+'Receita Líquida - O&amp;G'!AW76</f>
        <v>0</v>
      </c>
      <c r="AX8" s="51">
        <f ca="1">'Receita Líquida - O&amp;G'!AX36+'Receita Líquida - O&amp;G'!AX76</f>
        <v>0</v>
      </c>
      <c r="AY8" s="51">
        <f ca="1">'Receita Líquida - O&amp;G'!AY36+'Receita Líquida - O&amp;G'!AY76</f>
        <v>0</v>
      </c>
      <c r="AZ8" s="51">
        <f ca="1">'Receita Líquida - O&amp;G'!AZ36+'Receita Líquida - O&amp;G'!AZ76</f>
        <v>0</v>
      </c>
      <c r="BA8" s="51">
        <f ca="1">'Receita Líquida - O&amp;G'!BA36+'Receita Líquida - O&amp;G'!BA76</f>
        <v>0</v>
      </c>
      <c r="BB8" s="51">
        <f ca="1">'Receita Líquida - O&amp;G'!BB36+'Receita Líquida - O&amp;G'!BB76</f>
        <v>0</v>
      </c>
      <c r="BC8" s="51">
        <f ca="1">'Receita Líquida - O&amp;G'!BC36+'Receita Líquida - O&amp;G'!BC76</f>
        <v>0</v>
      </c>
      <c r="BD8" s="51">
        <f ca="1">'Receita Líquida - O&amp;G'!BD36+'Receita Líquida - O&amp;G'!BD76</f>
        <v>0</v>
      </c>
      <c r="BE8" s="51">
        <f ca="1">'Receita Líquida - O&amp;G'!BE36+'Receita Líquida - O&amp;G'!BE76</f>
        <v>0</v>
      </c>
      <c r="BF8" s="51">
        <f ca="1">'Receita Líquida - O&amp;G'!BF36+'Receita Líquida - O&amp;G'!BF76</f>
        <v>0</v>
      </c>
      <c r="BG8" s="51">
        <f ca="1">'Receita Líquida - O&amp;G'!BG36+'Receita Líquida - O&amp;G'!BG76</f>
        <v>0</v>
      </c>
      <c r="BH8" s="51">
        <f ca="1">'Receita Líquida - O&amp;G'!BH36+'Receita Líquida - O&amp;G'!BH76</f>
        <v>0</v>
      </c>
      <c r="BI8" s="51">
        <f ca="1">'Receita Líquida - O&amp;G'!BI36+'Receita Líquida - O&amp;G'!BI76</f>
        <v>0</v>
      </c>
      <c r="BJ8" s="51">
        <f ca="1">'Receita Líquida - O&amp;G'!BJ36+'Receita Líquida - O&amp;G'!BJ76</f>
        <v>0</v>
      </c>
      <c r="BK8" s="51">
        <f ca="1">'Receita Líquida - O&amp;G'!BK36+'Receita Líquida - O&amp;G'!BK76</f>
        <v>0</v>
      </c>
      <c r="BL8" s="51">
        <f ca="1">'Receita Líquida - O&amp;G'!BL36+'Receita Líquida - O&amp;G'!BL76</f>
        <v>0</v>
      </c>
      <c r="BM8" s="51">
        <f ca="1">'Receita Líquida - O&amp;G'!BM36+'Receita Líquida - O&amp;G'!BM76</f>
        <v>0</v>
      </c>
      <c r="BN8" s="51">
        <f ca="1">'Receita Líquida - O&amp;G'!BN36+'Receita Líquida - O&amp;G'!BN76</f>
        <v>0</v>
      </c>
      <c r="BO8" s="51">
        <f ca="1">'Receita Líquida - O&amp;G'!BO36+'Receita Líquida - O&amp;G'!BO76</f>
        <v>0</v>
      </c>
      <c r="BP8" s="51">
        <f ca="1">'Receita Líquida - O&amp;G'!BP36+'Receita Líquida - O&amp;G'!BP76</f>
        <v>0</v>
      </c>
      <c r="BQ8" s="51">
        <f ca="1">'Receita Líquida - O&amp;G'!BQ36+'Receita Líquida - O&amp;G'!BQ76</f>
        <v>0</v>
      </c>
      <c r="BR8" s="51">
        <f ca="1">'Receita Líquida - O&amp;G'!BR36+'Receita Líquida - O&amp;G'!BR76</f>
        <v>0</v>
      </c>
      <c r="BS8" s="51">
        <f ca="1">'Receita Líquida - O&amp;G'!BS36+'Receita Líquida - O&amp;G'!BS76</f>
        <v>0</v>
      </c>
      <c r="BT8" s="51">
        <f ca="1">'Receita Líquida - O&amp;G'!BT36+'Receita Líquida - O&amp;G'!BT76</f>
        <v>0</v>
      </c>
      <c r="BU8" s="51">
        <f ca="1">'Receita Líquida - O&amp;G'!BU36+'Receita Líquida - O&amp;G'!BU76</f>
        <v>0</v>
      </c>
      <c r="BV8" s="51">
        <f ca="1">'Receita Líquida - O&amp;G'!BV36+'Receita Líquida - O&amp;G'!BV76</f>
        <v>0</v>
      </c>
      <c r="BW8" s="51">
        <f ca="1">'Receita Líquida - O&amp;G'!BW36+'Receita Líquida - O&amp;G'!BW76</f>
        <v>0</v>
      </c>
    </row>
    <row r="9" spans="1:75" x14ac:dyDescent="0.3">
      <c r="A9" s="5" t="s">
        <v>68</v>
      </c>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51">
        <f ca="1">'Receita Líquida - O&amp;G'!AG37+'Receita Líquida - O&amp;G'!AG77</f>
        <v>965.35309225842627</v>
      </c>
      <c r="AH9" s="51">
        <f ca="1">'Receita Líquida - O&amp;G'!AH37+'Receita Líquida - O&amp;G'!AH77</f>
        <v>1425.0421240699454</v>
      </c>
      <c r="AI9" s="51">
        <f ca="1">'Receita Líquida - O&amp;G'!AI37+'Receita Líquida - O&amp;G'!AI77</f>
        <v>1800.2690518574027</v>
      </c>
      <c r="AJ9" s="51">
        <f ca="1">'Receita Líquida - O&amp;G'!AJ37+'Receita Líquida - O&amp;G'!AJ77</f>
        <v>2112.5778085062734</v>
      </c>
      <c r="AK9" s="51">
        <f ca="1">'Receita Líquida - O&amp;G'!AK37+'Receita Líquida - O&amp;G'!AK77</f>
        <v>2181.4837600877549</v>
      </c>
      <c r="AL9" s="51">
        <f ca="1">'Receita Líquida - O&amp;G'!AL37+'Receita Líquida - O&amp;G'!AL77</f>
        <v>2425.6966919856864</v>
      </c>
      <c r="AM9" s="51">
        <f ca="1">'Receita Líquida - O&amp;G'!AM37+'Receita Líquida - O&amp;G'!AM77</f>
        <v>2306.347256307924</v>
      </c>
      <c r="AN9" s="51">
        <f ca="1">'Receita Líquida - O&amp;G'!AN37+'Receita Líquida - O&amp;G'!AN77</f>
        <v>1955.1848048520717</v>
      </c>
      <c r="AO9" s="51">
        <f ca="1">'Receita Líquida - O&amp;G'!AO37+'Receita Líquida - O&amp;G'!AO77</f>
        <v>1702.3387960739522</v>
      </c>
      <c r="AP9" s="51">
        <f ca="1">'Receita Líquida - O&amp;G'!AP37+'Receita Líquida - O&amp;G'!AP77</f>
        <v>1478.898436491372</v>
      </c>
      <c r="AQ9" s="51">
        <f ca="1">'Receita Líquida - O&amp;G'!AQ37+'Receita Líquida - O&amp;G'!AQ77</f>
        <v>1290.1129653294895</v>
      </c>
      <c r="AR9" s="51">
        <f ca="1">'Receita Líquida - O&amp;G'!AR37+'Receita Líquida - O&amp;G'!AR77</f>
        <v>1116.1537538557404</v>
      </c>
      <c r="AS9" s="51">
        <f ca="1">'Receita Líquida - O&amp;G'!AS37+'Receita Líquida - O&amp;G'!AS77</f>
        <v>974.46486020541636</v>
      </c>
      <c r="AT9" s="51">
        <f ca="1">'Receita Líquida - O&amp;G'!AT37+'Receita Líquida - O&amp;G'!AT77</f>
        <v>847.46479751073093</v>
      </c>
      <c r="AU9" s="51">
        <f ca="1">'Receita Líquida - O&amp;G'!AU37+'Receita Líquida - O&amp;G'!AU77</f>
        <v>755.37134688280844</v>
      </c>
      <c r="AV9" s="51">
        <f ca="1">'Receita Líquida - O&amp;G'!AV37+'Receita Líquida - O&amp;G'!AV77</f>
        <v>680.41557074824777</v>
      </c>
      <c r="AW9" s="51">
        <f ca="1">'Receita Líquida - O&amp;G'!AW37+'Receita Líquida - O&amp;G'!AW77</f>
        <v>608.53331511961869</v>
      </c>
      <c r="AX9" s="51">
        <f ca="1">'Receita Líquida - O&amp;G'!AX37+'Receita Líquida - O&amp;G'!AX77</f>
        <v>533.54428080484035</v>
      </c>
      <c r="AY9" s="51">
        <f ca="1">'Receita Líquida - O&amp;G'!AY37+'Receita Líquida - O&amp;G'!AY77</f>
        <v>467.34697448453176</v>
      </c>
      <c r="AZ9" s="51">
        <f ca="1">'Receita Líquida - O&amp;G'!AZ37+'Receita Líquida - O&amp;G'!AZ77</f>
        <v>404.21625923073111</v>
      </c>
      <c r="BA9" s="51">
        <f ca="1">'Receita Líquida - O&amp;G'!BA37+'Receita Líquida - O&amp;G'!BA77</f>
        <v>355.88731121214596</v>
      </c>
      <c r="BB9" s="51">
        <f ca="1">'Receita Líquida - O&amp;G'!BB37+'Receita Líquida - O&amp;G'!BB77</f>
        <v>303.6900020916629</v>
      </c>
      <c r="BC9" s="51">
        <f ca="1">'Receita Líquida - O&amp;G'!BC37+'Receita Líquida - O&amp;G'!BC77</f>
        <v>275.31203632782194</v>
      </c>
      <c r="BD9" s="51">
        <f ca="1">'Receita Líquida - O&amp;G'!BD37+'Receita Líquida - O&amp;G'!BD77</f>
        <v>253.60013340220098</v>
      </c>
      <c r="BE9" s="51">
        <f ca="1">'Receita Líquida - O&amp;G'!BE37+'Receita Líquida - O&amp;G'!BE77</f>
        <v>235.04683042081501</v>
      </c>
      <c r="BF9" s="51">
        <f ca="1">'Receita Líquida - O&amp;G'!BF37+'Receita Líquida - O&amp;G'!BF77</f>
        <v>197.35608067375452</v>
      </c>
      <c r="BG9" s="51">
        <f ca="1">'Receita Líquida - O&amp;G'!BG37+'Receita Líquida - O&amp;G'!BG77</f>
        <v>178.00871897766677</v>
      </c>
      <c r="BH9" s="51">
        <f ca="1">'Receita Líquida - O&amp;G'!BH37+'Receita Líquida - O&amp;G'!BH77</f>
        <v>167.35088366371886</v>
      </c>
      <c r="BI9" s="51">
        <f ca="1">'Receita Líquida - O&amp;G'!BI37+'Receita Líquida - O&amp;G'!BI77</f>
        <v>96.794442394742987</v>
      </c>
      <c r="BJ9" s="51">
        <f ca="1">'Receita Líquida - O&amp;G'!BJ37+'Receita Líquida - O&amp;G'!BJ77</f>
        <v>0</v>
      </c>
      <c r="BK9" s="51">
        <f ca="1">'Receita Líquida - O&amp;G'!BK37+'Receita Líquida - O&amp;G'!BK77</f>
        <v>0</v>
      </c>
      <c r="BL9" s="51">
        <f ca="1">'Receita Líquida - O&amp;G'!BL37+'Receita Líquida - O&amp;G'!BL77</f>
        <v>0</v>
      </c>
      <c r="BM9" s="51">
        <f ca="1">'Receita Líquida - O&amp;G'!BM37+'Receita Líquida - O&amp;G'!BM77</f>
        <v>0</v>
      </c>
      <c r="BN9" s="51">
        <f ca="1">'Receita Líquida - O&amp;G'!BN37+'Receita Líquida - O&amp;G'!BN77</f>
        <v>0</v>
      </c>
      <c r="BO9" s="51">
        <f ca="1">'Receita Líquida - O&amp;G'!BO37+'Receita Líquida - O&amp;G'!BO77</f>
        <v>0</v>
      </c>
      <c r="BP9" s="51">
        <f ca="1">'Receita Líquida - O&amp;G'!BP37+'Receita Líquida - O&amp;G'!BP77</f>
        <v>0</v>
      </c>
      <c r="BQ9" s="51">
        <f ca="1">'Receita Líquida - O&amp;G'!BQ37+'Receita Líquida - O&amp;G'!BQ77</f>
        <v>0</v>
      </c>
      <c r="BR9" s="51">
        <f ca="1">'Receita Líquida - O&amp;G'!BR37+'Receita Líquida - O&amp;G'!BR77</f>
        <v>0</v>
      </c>
      <c r="BS9" s="51">
        <f ca="1">'Receita Líquida - O&amp;G'!BS37+'Receita Líquida - O&amp;G'!BS77</f>
        <v>0</v>
      </c>
      <c r="BT9" s="51">
        <f ca="1">'Receita Líquida - O&amp;G'!BT37+'Receita Líquida - O&amp;G'!BT77</f>
        <v>0</v>
      </c>
      <c r="BU9" s="51">
        <f ca="1">'Receita Líquida - O&amp;G'!BU37+'Receita Líquida - O&amp;G'!BU77</f>
        <v>0</v>
      </c>
      <c r="BV9" s="51">
        <f ca="1">'Receita Líquida - O&amp;G'!BV37+'Receita Líquida - O&amp;G'!BV77</f>
        <v>0</v>
      </c>
      <c r="BW9" s="51">
        <f ca="1">'Receita Líquida - O&amp;G'!BW37+'Receita Líquida - O&amp;G'!BW77</f>
        <v>0</v>
      </c>
    </row>
    <row r="10" spans="1:75" s="5" customFormat="1" ht="13.8" x14ac:dyDescent="0.3"/>
    <row r="11" spans="1:75" x14ac:dyDescent="0.3">
      <c r="A11" t="s">
        <v>686</v>
      </c>
      <c r="B11" s="12" t="str">
        <f>'Avaliação e Simulações'!$B$34</f>
        <v>2p</v>
      </c>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row>
    <row r="12" spans="1:75" x14ac:dyDescent="0.3">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row>
    <row r="13" spans="1:75" x14ac:dyDescent="0.3">
      <c r="A13" s="2" t="s">
        <v>107</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74">
        <f>SUMIFS('Drivers Macroeconômico'!$J:$J,'Drivers Macroeconômico'!$H:$H,'Receita Líquida - O&amp;G'!AG$1)</f>
        <v>2.7E-2</v>
      </c>
      <c r="AH13" s="74">
        <f>SUMIFS('Drivers Macroeconômico'!$J:$J,'Drivers Macroeconômico'!$H:$H,'Receita Líquida - O&amp;G'!AH$1)</f>
        <v>0.02</v>
      </c>
      <c r="AI13" s="74">
        <f>SUMIFS('Drivers Macroeconômico'!$J:$J,'Drivers Macroeconômico'!$H:$H,'Receita Líquida - O&amp;G'!AI$1)</f>
        <v>0.02</v>
      </c>
      <c r="AJ13" s="74">
        <f>SUMIFS('Drivers Macroeconômico'!$J:$J,'Drivers Macroeconômico'!$H:$H,'Receita Líquida - O&amp;G'!AJ$1)</f>
        <v>0.02</v>
      </c>
      <c r="AK13" s="74">
        <f>SUMIFS('Drivers Macroeconômico'!$J:$J,'Drivers Macroeconômico'!$H:$H,'Receita Líquida - O&amp;G'!AK$1)</f>
        <v>0.02</v>
      </c>
      <c r="AL13" s="74">
        <f>SUMIFS('Drivers Macroeconômico'!$J:$J,'Drivers Macroeconômico'!$H:$H,'Receita Líquida - O&amp;G'!AL$1)</f>
        <v>0.02</v>
      </c>
      <c r="AM13" s="74">
        <f>SUMIFS('Drivers Macroeconômico'!$J:$J,'Drivers Macroeconômico'!$H:$H,'Receita Líquida - O&amp;G'!AM$1)</f>
        <v>0.02</v>
      </c>
      <c r="AN13" s="74">
        <f>SUMIFS('Drivers Macroeconômico'!$J:$J,'Drivers Macroeconômico'!$H:$H,'Receita Líquida - O&amp;G'!AN$1)</f>
        <v>0.02</v>
      </c>
      <c r="AO13" s="74">
        <f>SUMIFS('Drivers Macroeconômico'!$J:$J,'Drivers Macroeconômico'!$H:$H,'Receita Líquida - O&amp;G'!AO$1)</f>
        <v>0.02</v>
      </c>
      <c r="AP13" s="74">
        <f>SUMIFS('Drivers Macroeconômico'!$J:$J,'Drivers Macroeconômico'!$H:$H,'Receita Líquida - O&amp;G'!AP$1)</f>
        <v>0.02</v>
      </c>
      <c r="AQ13" s="74">
        <f>SUMIFS('Drivers Macroeconômico'!$J:$J,'Drivers Macroeconômico'!$H:$H,'Receita Líquida - O&amp;G'!AQ$1)</f>
        <v>0.02</v>
      </c>
      <c r="AR13" s="74">
        <f>SUMIFS('Drivers Macroeconômico'!$J:$J,'Drivers Macroeconômico'!$H:$H,'Receita Líquida - O&amp;G'!AR$1)</f>
        <v>0.02</v>
      </c>
      <c r="AS13" s="74">
        <f>SUMIFS('Drivers Macroeconômico'!$J:$J,'Drivers Macroeconômico'!$H:$H,'Receita Líquida - O&amp;G'!AS$1)</f>
        <v>0.02</v>
      </c>
      <c r="AT13" s="74">
        <f>SUMIFS('Drivers Macroeconômico'!$J:$J,'Drivers Macroeconômico'!$H:$H,'Receita Líquida - O&amp;G'!AT$1)</f>
        <v>0.02</v>
      </c>
      <c r="AU13" s="74">
        <f>SUMIFS('Drivers Macroeconômico'!$J:$J,'Drivers Macroeconômico'!$H:$H,'Receita Líquida - O&amp;G'!AU$1)</f>
        <v>0.02</v>
      </c>
      <c r="AV13" s="74">
        <f>SUMIFS('Drivers Macroeconômico'!$J:$J,'Drivers Macroeconômico'!$H:$H,'Receita Líquida - O&amp;G'!AV$1)</f>
        <v>0.02</v>
      </c>
      <c r="AW13" s="74">
        <f>SUMIFS('Drivers Macroeconômico'!$J:$J,'Drivers Macroeconômico'!$H:$H,'Receita Líquida - O&amp;G'!AW$1)</f>
        <v>0.02</v>
      </c>
      <c r="AX13" s="74">
        <f>SUMIFS('Drivers Macroeconômico'!$J:$J,'Drivers Macroeconômico'!$H:$H,'Receita Líquida - O&amp;G'!AX$1)</f>
        <v>0.02</v>
      </c>
      <c r="AY13" s="74">
        <f>SUMIFS('Drivers Macroeconômico'!$J:$J,'Drivers Macroeconômico'!$H:$H,'Receita Líquida - O&amp;G'!AY$1)</f>
        <v>0.02</v>
      </c>
      <c r="AZ13" s="74">
        <f>SUMIFS('Drivers Macroeconômico'!$J:$J,'Drivers Macroeconômico'!$H:$H,'Receita Líquida - O&amp;G'!AZ$1)</f>
        <v>0.02</v>
      </c>
      <c r="BA13" s="74">
        <f>SUMIFS('Drivers Macroeconômico'!$J:$J,'Drivers Macroeconômico'!$H:$H,'Receita Líquida - O&amp;G'!BA$1)</f>
        <v>0.02</v>
      </c>
      <c r="BB13" s="74">
        <f>SUMIFS('Drivers Macroeconômico'!$J:$J,'Drivers Macroeconômico'!$H:$H,'Receita Líquida - O&amp;G'!BB$1)</f>
        <v>0.02</v>
      </c>
      <c r="BC13" s="74">
        <f>SUMIFS('Drivers Macroeconômico'!$J:$J,'Drivers Macroeconômico'!$H:$H,'Receita Líquida - O&amp;G'!BC$1)</f>
        <v>0.02</v>
      </c>
      <c r="BD13" s="74">
        <f>SUMIFS('Drivers Macroeconômico'!$J:$J,'Drivers Macroeconômico'!$H:$H,'Receita Líquida - O&amp;G'!BD$1)</f>
        <v>0.02</v>
      </c>
      <c r="BE13" s="74">
        <f>SUMIFS('Drivers Macroeconômico'!$J:$J,'Drivers Macroeconômico'!$H:$H,'Receita Líquida - O&amp;G'!BE$1)</f>
        <v>0.02</v>
      </c>
      <c r="BF13" s="74">
        <f>SUMIFS('Drivers Macroeconômico'!$J:$J,'Drivers Macroeconômico'!$H:$H,'Receita Líquida - O&amp;G'!BF$1)</f>
        <v>0.02</v>
      </c>
      <c r="BG13" s="74">
        <f>SUMIFS('Drivers Macroeconômico'!$J:$J,'Drivers Macroeconômico'!$H:$H,'Receita Líquida - O&amp;G'!BG$1)</f>
        <v>0.02</v>
      </c>
      <c r="BH13" s="74">
        <f>SUMIFS('Drivers Macroeconômico'!$J:$J,'Drivers Macroeconômico'!$H:$H,'Receita Líquida - O&amp;G'!BH$1)</f>
        <v>0.02</v>
      </c>
      <c r="BI13" s="74">
        <f>SUMIFS('Drivers Macroeconômico'!$J:$J,'Drivers Macroeconômico'!$H:$H,'Receita Líquida - O&amp;G'!BI$1)</f>
        <v>0.02</v>
      </c>
      <c r="BJ13" s="74">
        <f>SUMIFS('Drivers Macroeconômico'!$J:$J,'Drivers Macroeconômico'!$H:$H,'Receita Líquida - O&amp;G'!BJ$1)</f>
        <v>0.02</v>
      </c>
      <c r="BK13" s="74">
        <f>SUMIFS('Drivers Macroeconômico'!$J:$J,'Drivers Macroeconômico'!$H:$H,'Receita Líquida - O&amp;G'!BK$1)</f>
        <v>0.02</v>
      </c>
      <c r="BL13" s="74">
        <f>SUMIFS('Drivers Macroeconômico'!$J:$J,'Drivers Macroeconômico'!$H:$H,'Receita Líquida - O&amp;G'!BL$1)</f>
        <v>0.02</v>
      </c>
      <c r="BM13" s="74">
        <f>SUMIFS('Drivers Macroeconômico'!$J:$J,'Drivers Macroeconômico'!$H:$H,'Receita Líquida - O&amp;G'!BM$1)</f>
        <v>0.02</v>
      </c>
      <c r="BN13" s="74">
        <f>SUMIFS('Drivers Macroeconômico'!$J:$J,'Drivers Macroeconômico'!$H:$H,'Receita Líquida - O&amp;G'!BN$1)</f>
        <v>0.02</v>
      </c>
      <c r="BO13" s="74">
        <f>SUMIFS('Drivers Macroeconômico'!$J:$J,'Drivers Macroeconômico'!$H:$H,'Receita Líquida - O&amp;G'!BO$1)</f>
        <v>0.02</v>
      </c>
      <c r="BP13" s="74">
        <f>SUMIFS('Drivers Macroeconômico'!$J:$J,'Drivers Macroeconômico'!$H:$H,'Receita Líquida - O&amp;G'!BP$1)</f>
        <v>0.02</v>
      </c>
      <c r="BQ13" s="74">
        <f>SUMIFS('Drivers Macroeconômico'!$J:$J,'Drivers Macroeconômico'!$H:$H,'Receita Líquida - O&amp;G'!BQ$1)</f>
        <v>0.02</v>
      </c>
      <c r="BR13" s="74">
        <f>SUMIFS('Drivers Macroeconômico'!$J:$J,'Drivers Macroeconômico'!$H:$H,'Receita Líquida - O&amp;G'!BR$1)</f>
        <v>0.02</v>
      </c>
      <c r="BS13" s="74">
        <f>SUMIFS('Drivers Macroeconômico'!$J:$J,'Drivers Macroeconômico'!$H:$H,'Receita Líquida - O&amp;G'!BS$1)</f>
        <v>0.02</v>
      </c>
      <c r="BT13" s="74">
        <f>SUMIFS('Drivers Macroeconômico'!$J:$J,'Drivers Macroeconômico'!$H:$H,'Receita Líquida - O&amp;G'!BT$1)</f>
        <v>0.02</v>
      </c>
      <c r="BU13" s="74">
        <f>SUMIFS('Drivers Macroeconômico'!$J:$J,'Drivers Macroeconômico'!$H:$H,'Receita Líquida - O&amp;G'!BU$1)</f>
        <v>0.02</v>
      </c>
      <c r="BV13" s="74">
        <f>SUMIFS('Drivers Macroeconômico'!$J:$J,'Drivers Macroeconômico'!$H:$H,'Receita Líquida - O&amp;G'!BV$1)</f>
        <v>0.02</v>
      </c>
      <c r="BW13" s="74">
        <f>SUMIFS('Drivers Macroeconômico'!$J:$J,'Drivers Macroeconômico'!$H:$H,'Receita Líquida - O&amp;G'!BW$1)</f>
        <v>0.02</v>
      </c>
    </row>
    <row r="14" spans="1:75" x14ac:dyDescent="0.3">
      <c r="A14" s="2" t="s">
        <v>109</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70">
        <v>1</v>
      </c>
      <c r="AH14" s="70">
        <f t="shared" ref="AH14:BL14" si="4">AG14*(1+AH13)</f>
        <v>1.02</v>
      </c>
      <c r="AI14" s="70">
        <f t="shared" si="4"/>
        <v>1.0404</v>
      </c>
      <c r="AJ14" s="70">
        <f t="shared" si="4"/>
        <v>1.0612079999999999</v>
      </c>
      <c r="AK14" s="70">
        <f t="shared" si="4"/>
        <v>1.08243216</v>
      </c>
      <c r="AL14" s="70">
        <f t="shared" si="4"/>
        <v>1.1040808032</v>
      </c>
      <c r="AM14" s="70">
        <f t="shared" si="4"/>
        <v>1.1261624192640001</v>
      </c>
      <c r="AN14" s="70">
        <f t="shared" si="4"/>
        <v>1.14868566764928</v>
      </c>
      <c r="AO14" s="70">
        <f t="shared" si="4"/>
        <v>1.1716593810022657</v>
      </c>
      <c r="AP14" s="70">
        <f t="shared" si="4"/>
        <v>1.1950925686223111</v>
      </c>
      <c r="AQ14" s="70">
        <f t="shared" si="4"/>
        <v>1.2189944199947573</v>
      </c>
      <c r="AR14" s="70">
        <f t="shared" si="4"/>
        <v>1.2433743083946525</v>
      </c>
      <c r="AS14" s="70">
        <f t="shared" si="4"/>
        <v>1.2682417945625455</v>
      </c>
      <c r="AT14" s="70">
        <f t="shared" si="4"/>
        <v>1.2936066304537963</v>
      </c>
      <c r="AU14" s="70">
        <f t="shared" si="4"/>
        <v>1.3194787630628724</v>
      </c>
      <c r="AV14" s="70">
        <f t="shared" si="4"/>
        <v>1.3458683383241299</v>
      </c>
      <c r="AW14" s="70">
        <f t="shared" si="4"/>
        <v>1.3727857050906125</v>
      </c>
      <c r="AX14" s="70">
        <f t="shared" si="4"/>
        <v>1.4002414191924248</v>
      </c>
      <c r="AY14" s="70">
        <f t="shared" si="4"/>
        <v>1.4282462475762734</v>
      </c>
      <c r="AZ14" s="70">
        <f t="shared" si="4"/>
        <v>1.4568111725277988</v>
      </c>
      <c r="BA14" s="70">
        <f t="shared" si="4"/>
        <v>1.4859473959783549</v>
      </c>
      <c r="BB14" s="70">
        <f t="shared" si="4"/>
        <v>1.5156663438979221</v>
      </c>
      <c r="BC14" s="70">
        <f t="shared" si="4"/>
        <v>1.5459796707758806</v>
      </c>
      <c r="BD14" s="70">
        <f t="shared" si="4"/>
        <v>1.5768992641913981</v>
      </c>
      <c r="BE14" s="70">
        <f t="shared" si="4"/>
        <v>1.6084372494752261</v>
      </c>
      <c r="BF14" s="70">
        <f t="shared" si="4"/>
        <v>1.6406059944647307</v>
      </c>
      <c r="BG14" s="70">
        <f t="shared" si="4"/>
        <v>1.6734181143540252</v>
      </c>
      <c r="BH14" s="70">
        <f t="shared" si="4"/>
        <v>1.7068864766411058</v>
      </c>
      <c r="BI14" s="70">
        <f t="shared" si="4"/>
        <v>1.7410242061739281</v>
      </c>
      <c r="BJ14" s="70">
        <f t="shared" si="4"/>
        <v>1.7758446902974065</v>
      </c>
      <c r="BK14" s="70">
        <f t="shared" si="4"/>
        <v>1.8113615841033548</v>
      </c>
      <c r="BL14" s="70">
        <f t="shared" si="4"/>
        <v>1.8475888157854219</v>
      </c>
      <c r="BM14" s="70">
        <f t="shared" ref="BM14:BW14" si="5">BL14*(1+BM13)</f>
        <v>1.8845405921011305</v>
      </c>
      <c r="BN14" s="70">
        <f t="shared" si="5"/>
        <v>1.9222314039431532</v>
      </c>
      <c r="BO14" s="70">
        <f t="shared" si="5"/>
        <v>1.9606760320220162</v>
      </c>
      <c r="BP14" s="70">
        <f t="shared" si="5"/>
        <v>1.9998895526624565</v>
      </c>
      <c r="BQ14" s="70">
        <f t="shared" si="5"/>
        <v>2.0398873437157055</v>
      </c>
      <c r="BR14" s="70">
        <f t="shared" si="5"/>
        <v>2.0806850905900198</v>
      </c>
      <c r="BS14" s="70">
        <f t="shared" si="5"/>
        <v>2.1222987924018204</v>
      </c>
      <c r="BT14" s="70">
        <f t="shared" si="5"/>
        <v>2.1647447682498568</v>
      </c>
      <c r="BU14" s="70">
        <f t="shared" si="5"/>
        <v>2.208039663614854</v>
      </c>
      <c r="BV14" s="70">
        <f t="shared" si="5"/>
        <v>2.252200456887151</v>
      </c>
      <c r="BW14" s="70">
        <f t="shared" si="5"/>
        <v>2.2972444660248938</v>
      </c>
    </row>
    <row r="15" spans="1:75"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row>
    <row r="16" spans="1:75" s="204" customFormat="1" x14ac:dyDescent="0.3">
      <c r="A16" s="204" t="s">
        <v>536</v>
      </c>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c r="AE16" s="205"/>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206"/>
      <c r="BF16" s="206"/>
      <c r="BG16" s="206"/>
      <c r="BH16" s="206"/>
      <c r="BI16" s="206"/>
      <c r="BJ16" s="206"/>
      <c r="BK16" s="206"/>
      <c r="BL16" s="206"/>
      <c r="BM16" s="206"/>
      <c r="BN16" s="206"/>
      <c r="BO16" s="206"/>
      <c r="BP16" s="206"/>
      <c r="BQ16" s="206"/>
      <c r="BR16" s="206"/>
      <c r="BS16" s="206"/>
      <c r="BT16" s="206"/>
      <c r="BU16" s="206"/>
      <c r="BV16" s="206"/>
      <c r="BW16" s="206"/>
    </row>
    <row r="17" spans="1:75" s="11" customFormat="1" ht="13.8" x14ac:dyDescent="0.3">
      <c r="AF17" s="2"/>
    </row>
    <row r="18" spans="1:75" x14ac:dyDescent="0.3">
      <c r="A18" s="4" t="s">
        <v>10</v>
      </c>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2"/>
      <c r="AG18" s="48">
        <f t="shared" ref="AG18:BL18" ca="1" si="6">SUM(AG19:AG22)</f>
        <v>407.43</v>
      </c>
      <c r="AH18" s="48">
        <f t="shared" ca="1" si="6"/>
        <v>392.97800000000001</v>
      </c>
      <c r="AI18" s="48">
        <f t="shared" ca="1" si="6"/>
        <v>309.42</v>
      </c>
      <c r="AJ18" s="48">
        <f t="shared" ca="1" si="6"/>
        <v>299.20500000000004</v>
      </c>
      <c r="AK18" s="48">
        <f t="shared" ca="1" si="6"/>
        <v>237.31300000000002</v>
      </c>
      <c r="AL18" s="48">
        <f t="shared" ca="1" si="6"/>
        <v>239.84899999999999</v>
      </c>
      <c r="AM18" s="48">
        <f t="shared" ca="1" si="6"/>
        <v>40.108000000000004</v>
      </c>
      <c r="AN18" s="48">
        <f t="shared" ca="1" si="6"/>
        <v>40.106999999999999</v>
      </c>
      <c r="AO18" s="48">
        <f t="shared" ca="1" si="6"/>
        <v>40.108000000000004</v>
      </c>
      <c r="AP18" s="48">
        <f t="shared" ca="1" si="6"/>
        <v>40.106999999999999</v>
      </c>
      <c r="AQ18" s="48">
        <f t="shared" ca="1" si="6"/>
        <v>40.108000000000004</v>
      </c>
      <c r="AR18" s="48">
        <f t="shared" ca="1" si="6"/>
        <v>40.106999999999999</v>
      </c>
      <c r="AS18" s="48">
        <f t="shared" ca="1" si="6"/>
        <v>40.108000000000004</v>
      </c>
      <c r="AT18" s="48">
        <f t="shared" ca="1" si="6"/>
        <v>24.606999999999999</v>
      </c>
      <c r="AU18" s="48">
        <f t="shared" ca="1" si="6"/>
        <v>24.608000000000001</v>
      </c>
      <c r="AV18" s="48">
        <f t="shared" ca="1" si="6"/>
        <v>24.606999999999999</v>
      </c>
      <c r="AW18" s="48">
        <f t="shared" ca="1" si="6"/>
        <v>24.608000000000001</v>
      </c>
      <c r="AX18" s="48">
        <f t="shared" ca="1" si="6"/>
        <v>24.606999999999999</v>
      </c>
      <c r="AY18" s="48">
        <f t="shared" ca="1" si="6"/>
        <v>24.608000000000001</v>
      </c>
      <c r="AZ18" s="48">
        <f t="shared" ca="1" si="6"/>
        <v>24.606999999999999</v>
      </c>
      <c r="BA18" s="48">
        <f t="shared" ca="1" si="6"/>
        <v>24.608000000000001</v>
      </c>
      <c r="BB18" s="48">
        <f t="shared" ca="1" si="6"/>
        <v>24.606999999999999</v>
      </c>
      <c r="BC18" s="48">
        <f t="shared" ca="1" si="6"/>
        <v>24.608000000000001</v>
      </c>
      <c r="BD18" s="48">
        <f t="shared" ca="1" si="6"/>
        <v>24.606999999999999</v>
      </c>
      <c r="BE18" s="48">
        <f t="shared" ca="1" si="6"/>
        <v>24.608000000000001</v>
      </c>
      <c r="BF18" s="48">
        <f t="shared" ca="1" si="6"/>
        <v>24.606999999999999</v>
      </c>
      <c r="BG18" s="48">
        <f t="shared" ca="1" si="6"/>
        <v>0</v>
      </c>
      <c r="BH18" s="48">
        <f t="shared" ca="1" si="6"/>
        <v>0</v>
      </c>
      <c r="BI18" s="48">
        <f t="shared" ca="1" si="6"/>
        <v>0</v>
      </c>
      <c r="BJ18" s="48">
        <f t="shared" ca="1" si="6"/>
        <v>0</v>
      </c>
      <c r="BK18" s="48">
        <f t="shared" ca="1" si="6"/>
        <v>0</v>
      </c>
      <c r="BL18" s="48">
        <f t="shared" ca="1" si="6"/>
        <v>0</v>
      </c>
      <c r="BM18" s="48">
        <f t="shared" ref="BM18:BW18" ca="1" si="7">SUM(BM19:BM22)</f>
        <v>0</v>
      </c>
      <c r="BN18" s="48">
        <f t="shared" ca="1" si="7"/>
        <v>0</v>
      </c>
      <c r="BO18" s="48">
        <f t="shared" ca="1" si="7"/>
        <v>0</v>
      </c>
      <c r="BP18" s="48">
        <f t="shared" ca="1" si="7"/>
        <v>0</v>
      </c>
      <c r="BQ18" s="48">
        <f t="shared" ca="1" si="7"/>
        <v>0</v>
      </c>
      <c r="BR18" s="48">
        <f t="shared" ca="1" si="7"/>
        <v>0</v>
      </c>
      <c r="BS18" s="48">
        <f t="shared" ca="1" si="7"/>
        <v>0</v>
      </c>
      <c r="BT18" s="48">
        <f t="shared" ca="1" si="7"/>
        <v>0</v>
      </c>
      <c r="BU18" s="48">
        <f t="shared" ca="1" si="7"/>
        <v>0</v>
      </c>
      <c r="BV18" s="48">
        <f t="shared" ca="1" si="7"/>
        <v>0</v>
      </c>
      <c r="BW18" s="48">
        <f t="shared" ca="1" si="7"/>
        <v>0</v>
      </c>
    </row>
    <row r="19" spans="1:75" x14ac:dyDescent="0.3">
      <c r="A19" s="5" t="s">
        <v>66</v>
      </c>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2"/>
      <c r="AG19" s="199">
        <f t="shared" ref="AG19:BW19" ca="1" si="8">SUMIFS(INDIRECT("'"&amp;$A19&amp;$B$11&amp;"'!"&amp;"$u:$u"),INDIRECT("'"&amp;$A19&amp;$B$11&amp;"'!"&amp;"$A:$A"),AG$1)/1000</f>
        <v>277.375</v>
      </c>
      <c r="AH19" s="199">
        <f t="shared" ca="1" si="8"/>
        <v>75.022000000000006</v>
      </c>
      <c r="AI19" s="199">
        <f t="shared" ca="1" si="8"/>
        <v>6.6079999999999997</v>
      </c>
      <c r="AJ19" s="199">
        <f t="shared" ca="1" si="8"/>
        <v>9.6069999999999993</v>
      </c>
      <c r="AK19" s="199">
        <f t="shared" ca="1" si="8"/>
        <v>6.6079999999999997</v>
      </c>
      <c r="AL19" s="199">
        <f t="shared" ca="1" si="8"/>
        <v>6.6070000000000002</v>
      </c>
      <c r="AM19" s="199">
        <f t="shared" ca="1" si="8"/>
        <v>6.6079999999999997</v>
      </c>
      <c r="AN19" s="199">
        <f t="shared" ca="1" si="8"/>
        <v>6.6070000000000002</v>
      </c>
      <c r="AO19" s="199">
        <f t="shared" ca="1" si="8"/>
        <v>6.6079999999999997</v>
      </c>
      <c r="AP19" s="199">
        <f t="shared" ca="1" si="8"/>
        <v>6.6070000000000002</v>
      </c>
      <c r="AQ19" s="199">
        <f t="shared" ca="1" si="8"/>
        <v>6.6079999999999997</v>
      </c>
      <c r="AR19" s="199">
        <f t="shared" ca="1" si="8"/>
        <v>6.6070000000000002</v>
      </c>
      <c r="AS19" s="199">
        <f t="shared" ca="1" si="8"/>
        <v>6.6079999999999997</v>
      </c>
      <c r="AT19" s="199">
        <f t="shared" ca="1" si="8"/>
        <v>6.6070000000000002</v>
      </c>
      <c r="AU19" s="199">
        <f t="shared" ca="1" si="8"/>
        <v>6.6079999999999997</v>
      </c>
      <c r="AV19" s="199">
        <f t="shared" ca="1" si="8"/>
        <v>6.6070000000000002</v>
      </c>
      <c r="AW19" s="199">
        <f t="shared" ca="1" si="8"/>
        <v>6.6079999999999997</v>
      </c>
      <c r="AX19" s="199">
        <f t="shared" ca="1" si="8"/>
        <v>6.6070000000000002</v>
      </c>
      <c r="AY19" s="199">
        <f t="shared" ca="1" si="8"/>
        <v>6.6079999999999997</v>
      </c>
      <c r="AZ19" s="199">
        <f t="shared" ca="1" si="8"/>
        <v>6.6070000000000002</v>
      </c>
      <c r="BA19" s="199">
        <f t="shared" ca="1" si="8"/>
        <v>6.6079999999999997</v>
      </c>
      <c r="BB19" s="199">
        <f t="shared" ca="1" si="8"/>
        <v>6.6070000000000002</v>
      </c>
      <c r="BC19" s="199">
        <f t="shared" ca="1" si="8"/>
        <v>6.6079999999999997</v>
      </c>
      <c r="BD19" s="199">
        <f t="shared" ca="1" si="8"/>
        <v>6.6070000000000002</v>
      </c>
      <c r="BE19" s="199">
        <f t="shared" ca="1" si="8"/>
        <v>6.6079999999999997</v>
      </c>
      <c r="BF19" s="199">
        <f t="shared" ca="1" si="8"/>
        <v>6.6070000000000002</v>
      </c>
      <c r="BG19" s="199">
        <f t="shared" ca="1" si="8"/>
        <v>0</v>
      </c>
      <c r="BH19" s="199">
        <f t="shared" ca="1" si="8"/>
        <v>0</v>
      </c>
      <c r="BI19" s="199">
        <f t="shared" ca="1" si="8"/>
        <v>0</v>
      </c>
      <c r="BJ19" s="199">
        <f t="shared" ca="1" si="8"/>
        <v>0</v>
      </c>
      <c r="BK19" s="199">
        <f t="shared" ca="1" si="8"/>
        <v>0</v>
      </c>
      <c r="BL19" s="199">
        <f t="shared" ca="1" si="8"/>
        <v>0</v>
      </c>
      <c r="BM19" s="199">
        <f t="shared" ca="1" si="8"/>
        <v>0</v>
      </c>
      <c r="BN19" s="199">
        <f t="shared" ca="1" si="8"/>
        <v>0</v>
      </c>
      <c r="BO19" s="199">
        <f t="shared" ca="1" si="8"/>
        <v>0</v>
      </c>
      <c r="BP19" s="199">
        <f t="shared" ca="1" si="8"/>
        <v>0</v>
      </c>
      <c r="BQ19" s="199">
        <f t="shared" ca="1" si="8"/>
        <v>0</v>
      </c>
      <c r="BR19" s="199">
        <f t="shared" ca="1" si="8"/>
        <v>0</v>
      </c>
      <c r="BS19" s="199">
        <f t="shared" ca="1" si="8"/>
        <v>0</v>
      </c>
      <c r="BT19" s="199">
        <f t="shared" ca="1" si="8"/>
        <v>0</v>
      </c>
      <c r="BU19" s="199">
        <f t="shared" ca="1" si="8"/>
        <v>0</v>
      </c>
      <c r="BV19" s="199">
        <f t="shared" ca="1" si="8"/>
        <v>0</v>
      </c>
      <c r="BW19" s="199">
        <f t="shared" ca="1" si="8"/>
        <v>0</v>
      </c>
    </row>
    <row r="20" spans="1:75" x14ac:dyDescent="0.3">
      <c r="A20" s="5" t="s">
        <v>67</v>
      </c>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2"/>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s="118"/>
      <c r="BQ20" s="118"/>
      <c r="BR20" s="118"/>
      <c r="BS20" s="118"/>
      <c r="BT20" s="118"/>
      <c r="BU20" s="118"/>
      <c r="BV20" s="118"/>
      <c r="BW20" s="118"/>
    </row>
    <row r="21" spans="1:75" x14ac:dyDescent="0.3">
      <c r="A21" s="5" t="s">
        <v>69</v>
      </c>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2"/>
      <c r="AG21" s="199">
        <f ca="1">SUMIFS(INDIRECT("'"&amp;$A21&amp;$B$11&amp;"'!"&amp;"$w:$w"),INDIRECT("'"&amp;$A21&amp;$B$11&amp;"'!"&amp;"$A:$A"),AG$1)/1000</f>
        <v>32.5</v>
      </c>
      <c r="AH21" s="199">
        <f ca="1">SUMIFS(INDIRECT("'"&amp;$A21&amp;$B$11&amp;"'!"&amp;"$w:$w"),INDIRECT("'"&amp;$A21&amp;$B$11&amp;"'!"&amp;"$A:$A"),AH$1)/1000</f>
        <v>53</v>
      </c>
      <c r="AI21" s="199">
        <f ca="1">SUMIFS(INDIRECT("'"&amp;$A21&amp;$B$11&amp;"'!"&amp;"$w:$w"),INDIRECT("'"&amp;$A21&amp;$B$11&amp;"'!"&amp;"$A:$A"),AI$1)/1000</f>
        <v>78.5</v>
      </c>
      <c r="AJ21" s="199">
        <f ca="1">SUMIFS(INDIRECT("'"&amp;$A21&amp;$B$11&amp;"'!"&amp;"$w:$w"),INDIRECT("'"&amp;$A21&amp;$B$11&amp;"'!"&amp;"$A:$A"),AJ$1)/1000</f>
        <v>15.5</v>
      </c>
      <c r="AK21" s="199">
        <f ca="1">SUMIFS(INDIRECT("'"&amp;$A21&amp;$B$11&amp;"'!"&amp;"$w:$w"),INDIRECT("'"&amp;$A21&amp;$B$11&amp;"'!"&amp;"$A:$A"),AK$1)/1000</f>
        <v>15.5</v>
      </c>
      <c r="AL21" s="199">
        <f ca="1">SUMIFS(INDIRECT("'"&amp;$A21&amp;$B$11&amp;"'!"&amp;"$w:$w"),INDIRECT("'"&amp;$A21&amp;$B$11&amp;"'!"&amp;"$A:$A"),AL$1)/1000</f>
        <v>15.5</v>
      </c>
      <c r="AM21" s="199">
        <f ca="1">SUMIFS(INDIRECT("'"&amp;$A21&amp;$B$11&amp;"'!"&amp;"$w:$w"),INDIRECT("'"&amp;$A21&amp;$B$11&amp;"'!"&amp;"$A:$A"),AM$1)/1000</f>
        <v>15.5</v>
      </c>
      <c r="AN21" s="199">
        <f ca="1">SUMIFS(INDIRECT("'"&amp;$A21&amp;$B$11&amp;"'!"&amp;"$w:$w"),INDIRECT("'"&amp;$A21&amp;$B$11&amp;"'!"&amp;"$A:$A"),AN$1)/1000</f>
        <v>15.5</v>
      </c>
      <c r="AO21" s="199">
        <f ca="1">SUMIFS(INDIRECT("'"&amp;$A21&amp;$B$11&amp;"'!"&amp;"$w:$w"),INDIRECT("'"&amp;$A21&amp;$B$11&amp;"'!"&amp;"$A:$A"),AO$1)/1000</f>
        <v>15.5</v>
      </c>
      <c r="AP21" s="199">
        <f ca="1">SUMIFS(INDIRECT("'"&amp;$A21&amp;$B$11&amp;"'!"&amp;"$w:$w"),INDIRECT("'"&amp;$A21&amp;$B$11&amp;"'!"&amp;"$A:$A"),AP$1)/1000</f>
        <v>15.5</v>
      </c>
      <c r="AQ21" s="199">
        <f ca="1">SUMIFS(INDIRECT("'"&amp;$A21&amp;$B$11&amp;"'!"&amp;"$w:$w"),INDIRECT("'"&amp;$A21&amp;$B$11&amp;"'!"&amp;"$A:$A"),AQ$1)/1000</f>
        <v>15.5</v>
      </c>
      <c r="AR21" s="199">
        <f ca="1">SUMIFS(INDIRECT("'"&amp;$A21&amp;$B$11&amp;"'!"&amp;"$w:$w"),INDIRECT("'"&amp;$A21&amp;$B$11&amp;"'!"&amp;"$A:$A"),AR$1)/1000</f>
        <v>15.5</v>
      </c>
      <c r="AS21" s="199">
        <f ca="1">SUMIFS(INDIRECT("'"&amp;$A21&amp;$B$11&amp;"'!"&amp;"$w:$w"),INDIRECT("'"&amp;$A21&amp;$B$11&amp;"'!"&amp;"$A:$A"),AS$1)/1000</f>
        <v>15.5</v>
      </c>
      <c r="AT21" s="199">
        <f ca="1">SUMIFS(INDIRECT("'"&amp;$A21&amp;$B$11&amp;"'!"&amp;"$w:$w"),INDIRECT("'"&amp;$A21&amp;$B$11&amp;"'!"&amp;"$A:$A"),AT$1)/1000</f>
        <v>0</v>
      </c>
      <c r="AU21" s="199">
        <f ca="1">SUMIFS(INDIRECT("'"&amp;$A21&amp;$B$11&amp;"'!"&amp;"$w:$w"),INDIRECT("'"&amp;$A21&amp;$B$11&amp;"'!"&amp;"$A:$A"),AU$1)/1000</f>
        <v>0</v>
      </c>
      <c r="AV21" s="199">
        <f ca="1">SUMIFS(INDIRECT("'"&amp;$A21&amp;$B$11&amp;"'!"&amp;"$w:$w"),INDIRECT("'"&amp;$A21&amp;$B$11&amp;"'!"&amp;"$A:$A"),AV$1)/1000</f>
        <v>0</v>
      </c>
      <c r="AW21" s="199">
        <f ca="1">SUMIFS(INDIRECT("'"&amp;$A21&amp;$B$11&amp;"'!"&amp;"$w:$w"),INDIRECT("'"&amp;$A21&amp;$B$11&amp;"'!"&amp;"$A:$A"),AW$1)/1000</f>
        <v>0</v>
      </c>
      <c r="AX21" s="199">
        <f ca="1">SUMIFS(INDIRECT("'"&amp;$A21&amp;$B$11&amp;"'!"&amp;"$w:$w"),INDIRECT("'"&amp;$A21&amp;$B$11&amp;"'!"&amp;"$A:$A"),AX$1)/1000</f>
        <v>0</v>
      </c>
      <c r="AY21" s="199">
        <f ca="1">SUMIFS(INDIRECT("'"&amp;$A21&amp;$B$11&amp;"'!"&amp;"$w:$w"),INDIRECT("'"&amp;$A21&amp;$B$11&amp;"'!"&amp;"$A:$A"),AY$1)/1000</f>
        <v>0</v>
      </c>
      <c r="AZ21" s="199">
        <f ca="1">SUMIFS(INDIRECT("'"&amp;$A21&amp;$B$11&amp;"'!"&amp;"$w:$w"),INDIRECT("'"&amp;$A21&amp;$B$11&amp;"'!"&amp;"$A:$A"),AZ$1)/1000</f>
        <v>0</v>
      </c>
      <c r="BA21" s="199">
        <f ca="1">SUMIFS(INDIRECT("'"&amp;$A21&amp;$B$11&amp;"'!"&amp;"$w:$w"),INDIRECT("'"&amp;$A21&amp;$B$11&amp;"'!"&amp;"$A:$A"),BA$1)/1000</f>
        <v>0</v>
      </c>
      <c r="BB21" s="199">
        <f ca="1">SUMIFS(INDIRECT("'"&amp;$A21&amp;$B$11&amp;"'!"&amp;"$w:$w"),INDIRECT("'"&amp;$A21&amp;$B$11&amp;"'!"&amp;"$A:$A"),BB$1)/1000</f>
        <v>0</v>
      </c>
      <c r="BC21" s="199">
        <f ca="1">SUMIFS(INDIRECT("'"&amp;$A21&amp;$B$11&amp;"'!"&amp;"$w:$w"),INDIRECT("'"&amp;$A21&amp;$B$11&amp;"'!"&amp;"$A:$A"),BC$1)/1000</f>
        <v>0</v>
      </c>
      <c r="BD21" s="199">
        <f ca="1">SUMIFS(INDIRECT("'"&amp;$A21&amp;$B$11&amp;"'!"&amp;"$w:$w"),INDIRECT("'"&amp;$A21&amp;$B$11&amp;"'!"&amp;"$A:$A"),BD$1)/1000</f>
        <v>0</v>
      </c>
      <c r="BE21" s="199">
        <f ca="1">SUMIFS(INDIRECT("'"&amp;$A21&amp;$B$11&amp;"'!"&amp;"$w:$w"),INDIRECT("'"&amp;$A21&amp;$B$11&amp;"'!"&amp;"$A:$A"),BE$1)/1000</f>
        <v>0</v>
      </c>
      <c r="BF21" s="199">
        <f ca="1">SUMIFS(INDIRECT("'"&amp;$A21&amp;$B$11&amp;"'!"&amp;"$w:$w"),INDIRECT("'"&amp;$A21&amp;$B$11&amp;"'!"&amp;"$A:$A"),BF$1)/1000</f>
        <v>0</v>
      </c>
      <c r="BG21" s="199">
        <f ca="1">SUMIFS(INDIRECT("'"&amp;$A21&amp;$B$11&amp;"'!"&amp;"$w:$w"),INDIRECT("'"&amp;$A21&amp;$B$11&amp;"'!"&amp;"$A:$A"),BG$1)/1000</f>
        <v>0</v>
      </c>
      <c r="BH21" s="199">
        <f ca="1">SUMIFS(INDIRECT("'"&amp;$A21&amp;$B$11&amp;"'!"&amp;"$w:$w"),INDIRECT("'"&amp;$A21&amp;$B$11&amp;"'!"&amp;"$A:$A"),BH$1)/1000</f>
        <v>0</v>
      </c>
      <c r="BI21" s="199">
        <f ca="1">SUMIFS(INDIRECT("'"&amp;$A21&amp;$B$11&amp;"'!"&amp;"$w:$w"),INDIRECT("'"&amp;$A21&amp;$B$11&amp;"'!"&amp;"$A:$A"),BI$1)/1000</f>
        <v>0</v>
      </c>
      <c r="BJ21" s="199">
        <f ca="1">SUMIFS(INDIRECT("'"&amp;$A21&amp;$B$11&amp;"'!"&amp;"$w:$w"),INDIRECT("'"&amp;$A21&amp;$B$11&amp;"'!"&amp;"$A:$A"),BJ$1)/1000</f>
        <v>0</v>
      </c>
      <c r="BK21" s="199">
        <f ca="1">SUMIFS(INDIRECT("'"&amp;$A21&amp;$B$11&amp;"'!"&amp;"$w:$w"),INDIRECT("'"&amp;$A21&amp;$B$11&amp;"'!"&amp;"$A:$A"),BK$1)/1000</f>
        <v>0</v>
      </c>
      <c r="BL21" s="199">
        <f ca="1">SUMIFS(INDIRECT("'"&amp;$A21&amp;$B$11&amp;"'!"&amp;"$w:$w"),INDIRECT("'"&amp;$A21&amp;$B$11&amp;"'!"&amp;"$A:$A"),BL$1)/1000</f>
        <v>0</v>
      </c>
      <c r="BM21" s="199">
        <f ca="1">SUMIFS(INDIRECT("'"&amp;$A21&amp;$B$11&amp;"'!"&amp;"$w:$w"),INDIRECT("'"&amp;$A21&amp;$B$11&amp;"'!"&amp;"$A:$A"),BM$1)/1000</f>
        <v>0</v>
      </c>
      <c r="BN21" s="199">
        <f ca="1">SUMIFS(INDIRECT("'"&amp;$A21&amp;$B$11&amp;"'!"&amp;"$w:$w"),INDIRECT("'"&amp;$A21&amp;$B$11&amp;"'!"&amp;"$A:$A"),BN$1)/1000</f>
        <v>0</v>
      </c>
      <c r="BO21" s="199">
        <f ca="1">SUMIFS(INDIRECT("'"&amp;$A21&amp;$B$11&amp;"'!"&amp;"$w:$w"),INDIRECT("'"&amp;$A21&amp;$B$11&amp;"'!"&amp;"$A:$A"),BO$1)/1000</f>
        <v>0</v>
      </c>
      <c r="BP21" s="199">
        <f ca="1">SUMIFS(INDIRECT("'"&amp;$A21&amp;$B$11&amp;"'!"&amp;"$w:$w"),INDIRECT("'"&amp;$A21&amp;$B$11&amp;"'!"&amp;"$A:$A"),BP$1)/1000</f>
        <v>0</v>
      </c>
      <c r="BQ21" s="199">
        <f ca="1">SUMIFS(INDIRECT("'"&amp;$A21&amp;$B$11&amp;"'!"&amp;"$w:$w"),INDIRECT("'"&amp;$A21&amp;$B$11&amp;"'!"&amp;"$A:$A"),BQ$1)/1000</f>
        <v>0</v>
      </c>
      <c r="BR21" s="199">
        <f ca="1">SUMIFS(INDIRECT("'"&amp;$A21&amp;$B$11&amp;"'!"&amp;"$w:$w"),INDIRECT("'"&amp;$A21&amp;$B$11&amp;"'!"&amp;"$A:$A"),BR$1)/1000</f>
        <v>0</v>
      </c>
      <c r="BS21" s="199">
        <f ca="1">SUMIFS(INDIRECT("'"&amp;$A21&amp;$B$11&amp;"'!"&amp;"$w:$w"),INDIRECT("'"&amp;$A21&amp;$B$11&amp;"'!"&amp;"$A:$A"),BS$1)/1000</f>
        <v>0</v>
      </c>
      <c r="BT21" s="199">
        <f ca="1">SUMIFS(INDIRECT("'"&amp;$A21&amp;$B$11&amp;"'!"&amp;"$w:$w"),INDIRECT("'"&amp;$A21&amp;$B$11&amp;"'!"&amp;"$A:$A"),BT$1)/1000</f>
        <v>0</v>
      </c>
      <c r="BU21" s="199">
        <f ca="1">SUMIFS(INDIRECT("'"&amp;$A21&amp;$B$11&amp;"'!"&amp;"$w:$w"),INDIRECT("'"&amp;$A21&amp;$B$11&amp;"'!"&amp;"$A:$A"),BU$1)/1000</f>
        <v>0</v>
      </c>
      <c r="BV21" s="199">
        <f ca="1">SUMIFS(INDIRECT("'"&amp;$A21&amp;$B$11&amp;"'!"&amp;"$w:$w"),INDIRECT("'"&amp;$A21&amp;$B$11&amp;"'!"&amp;"$A:$A"),BV$1)/1000</f>
        <v>0</v>
      </c>
      <c r="BW21" s="199">
        <f ca="1">SUMIFS(INDIRECT("'"&amp;$A21&amp;$B$11&amp;"'!"&amp;"$w:$w"),INDIRECT("'"&amp;$A21&amp;$B$11&amp;"'!"&amp;"$A:$A"),BW$1)/1000</f>
        <v>0</v>
      </c>
    </row>
    <row r="22" spans="1:75" x14ac:dyDescent="0.3">
      <c r="A22" s="5" t="s">
        <v>68</v>
      </c>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2"/>
      <c r="AG22" s="199">
        <f ca="1">SUMIFS(INDIRECT("'"&amp;$A22&amp;$B$11&amp;"'!"&amp;"$w:$w"),INDIRECT("'"&amp;$A22&amp;$B$11&amp;"'!"&amp;"$A:$A"),AG$1)/1000</f>
        <v>97.555000000000007</v>
      </c>
      <c r="AH22" s="199">
        <f ca="1">SUMIFS(INDIRECT("'"&amp;$A22&amp;$B$11&amp;"'!"&amp;"$w:$w"),INDIRECT("'"&amp;$A22&amp;$B$11&amp;"'!"&amp;"$A:$A"),AH$1)/1000</f>
        <v>264.95600000000002</v>
      </c>
      <c r="AI22" s="199">
        <f ca="1">SUMIFS(INDIRECT("'"&amp;$A22&amp;$B$11&amp;"'!"&amp;"$w:$w"),INDIRECT("'"&amp;$A22&amp;$B$11&amp;"'!"&amp;"$A:$A"),AI$1)/1000</f>
        <v>224.31200000000001</v>
      </c>
      <c r="AJ22" s="199">
        <f ca="1">SUMIFS(INDIRECT("'"&amp;$A22&amp;$B$11&amp;"'!"&amp;"$w:$w"),INDIRECT("'"&amp;$A22&amp;$B$11&amp;"'!"&amp;"$A:$A"),AJ$1)/1000</f>
        <v>274.09800000000001</v>
      </c>
      <c r="AK22" s="199">
        <f ca="1">SUMIFS(INDIRECT("'"&amp;$A22&amp;$B$11&amp;"'!"&amp;"$w:$w"),INDIRECT("'"&amp;$A22&amp;$B$11&amp;"'!"&amp;"$A:$A"),AK$1)/1000</f>
        <v>215.20500000000001</v>
      </c>
      <c r="AL22" s="199">
        <f ca="1">SUMIFS(INDIRECT("'"&amp;$A22&amp;$B$11&amp;"'!"&amp;"$w:$w"),INDIRECT("'"&amp;$A22&amp;$B$11&amp;"'!"&amp;"$A:$A"),AL$1)/1000</f>
        <v>217.74199999999999</v>
      </c>
      <c r="AM22" s="199">
        <f ca="1">SUMIFS(INDIRECT("'"&amp;$A22&amp;$B$11&amp;"'!"&amp;"$w:$w"),INDIRECT("'"&amp;$A22&amp;$B$11&amp;"'!"&amp;"$A:$A"),AM$1)/1000</f>
        <v>18</v>
      </c>
      <c r="AN22" s="199">
        <f ca="1">SUMIFS(INDIRECT("'"&amp;$A22&amp;$B$11&amp;"'!"&amp;"$w:$w"),INDIRECT("'"&amp;$A22&amp;$B$11&amp;"'!"&amp;"$A:$A"),AN$1)/1000</f>
        <v>18</v>
      </c>
      <c r="AO22" s="199">
        <f ca="1">SUMIFS(INDIRECT("'"&amp;$A22&amp;$B$11&amp;"'!"&amp;"$w:$w"),INDIRECT("'"&amp;$A22&amp;$B$11&amp;"'!"&amp;"$A:$A"),AO$1)/1000</f>
        <v>18</v>
      </c>
      <c r="AP22" s="199">
        <f ca="1">SUMIFS(INDIRECT("'"&amp;$A22&amp;$B$11&amp;"'!"&amp;"$w:$w"),INDIRECT("'"&amp;$A22&amp;$B$11&amp;"'!"&amp;"$A:$A"),AP$1)/1000</f>
        <v>18</v>
      </c>
      <c r="AQ22" s="199">
        <f ca="1">SUMIFS(INDIRECT("'"&amp;$A22&amp;$B$11&amp;"'!"&amp;"$w:$w"),INDIRECT("'"&amp;$A22&amp;$B$11&amp;"'!"&amp;"$A:$A"),AQ$1)/1000</f>
        <v>18</v>
      </c>
      <c r="AR22" s="199">
        <f ca="1">SUMIFS(INDIRECT("'"&amp;$A22&amp;$B$11&amp;"'!"&amp;"$w:$w"),INDIRECT("'"&amp;$A22&amp;$B$11&amp;"'!"&amp;"$A:$A"),AR$1)/1000</f>
        <v>18</v>
      </c>
      <c r="AS22" s="199">
        <f ca="1">SUMIFS(INDIRECT("'"&amp;$A22&amp;$B$11&amp;"'!"&amp;"$w:$w"),INDIRECT("'"&amp;$A22&amp;$B$11&amp;"'!"&amp;"$A:$A"),AS$1)/1000</f>
        <v>18</v>
      </c>
      <c r="AT22" s="199">
        <f ca="1">SUMIFS(INDIRECT("'"&amp;$A22&amp;$B$11&amp;"'!"&amp;"$w:$w"),INDIRECT("'"&amp;$A22&amp;$B$11&amp;"'!"&amp;"$A:$A"),AT$1)/1000</f>
        <v>18</v>
      </c>
      <c r="AU22" s="199">
        <f ca="1">SUMIFS(INDIRECT("'"&amp;$A22&amp;$B$11&amp;"'!"&amp;"$w:$w"),INDIRECT("'"&amp;$A22&amp;$B$11&amp;"'!"&amp;"$A:$A"),AU$1)/1000</f>
        <v>18</v>
      </c>
      <c r="AV22" s="199">
        <f ca="1">SUMIFS(INDIRECT("'"&amp;$A22&amp;$B$11&amp;"'!"&amp;"$w:$w"),INDIRECT("'"&amp;$A22&amp;$B$11&amp;"'!"&amp;"$A:$A"),AV$1)/1000</f>
        <v>18</v>
      </c>
      <c r="AW22" s="199">
        <f ca="1">SUMIFS(INDIRECT("'"&amp;$A22&amp;$B$11&amp;"'!"&amp;"$w:$w"),INDIRECT("'"&amp;$A22&amp;$B$11&amp;"'!"&amp;"$A:$A"),AW$1)/1000</f>
        <v>18</v>
      </c>
      <c r="AX22" s="199">
        <f ca="1">SUMIFS(INDIRECT("'"&amp;$A22&amp;$B$11&amp;"'!"&amp;"$w:$w"),INDIRECT("'"&amp;$A22&amp;$B$11&amp;"'!"&amp;"$A:$A"),AX$1)/1000</f>
        <v>18</v>
      </c>
      <c r="AY22" s="199">
        <f ca="1">SUMIFS(INDIRECT("'"&amp;$A22&amp;$B$11&amp;"'!"&amp;"$w:$w"),INDIRECT("'"&amp;$A22&amp;$B$11&amp;"'!"&amp;"$A:$A"),AY$1)/1000</f>
        <v>18</v>
      </c>
      <c r="AZ22" s="199">
        <f ca="1">SUMIFS(INDIRECT("'"&amp;$A22&amp;$B$11&amp;"'!"&amp;"$w:$w"),INDIRECT("'"&amp;$A22&amp;$B$11&amp;"'!"&amp;"$A:$A"),AZ$1)/1000</f>
        <v>18</v>
      </c>
      <c r="BA22" s="199">
        <f ca="1">SUMIFS(INDIRECT("'"&amp;$A22&amp;$B$11&amp;"'!"&amp;"$w:$w"),INDIRECT("'"&amp;$A22&amp;$B$11&amp;"'!"&amp;"$A:$A"),BA$1)/1000</f>
        <v>18</v>
      </c>
      <c r="BB22" s="199">
        <f ca="1">SUMIFS(INDIRECT("'"&amp;$A22&amp;$B$11&amp;"'!"&amp;"$w:$w"),INDIRECT("'"&amp;$A22&amp;$B$11&amp;"'!"&amp;"$A:$A"),BB$1)/1000</f>
        <v>18</v>
      </c>
      <c r="BC22" s="199">
        <f ca="1">SUMIFS(INDIRECT("'"&amp;$A22&amp;$B$11&amp;"'!"&amp;"$w:$w"),INDIRECT("'"&amp;$A22&amp;$B$11&amp;"'!"&amp;"$A:$A"),BC$1)/1000</f>
        <v>18</v>
      </c>
      <c r="BD22" s="199">
        <f ca="1">SUMIFS(INDIRECT("'"&amp;$A22&amp;$B$11&amp;"'!"&amp;"$w:$w"),INDIRECT("'"&amp;$A22&amp;$B$11&amp;"'!"&amp;"$A:$A"),BD$1)/1000</f>
        <v>18</v>
      </c>
      <c r="BE22" s="199">
        <f ca="1">SUMIFS(INDIRECT("'"&amp;$A22&amp;$B$11&amp;"'!"&amp;"$w:$w"),INDIRECT("'"&amp;$A22&amp;$B$11&amp;"'!"&amp;"$A:$A"),BE$1)/1000</f>
        <v>18</v>
      </c>
      <c r="BF22" s="199">
        <f ca="1">SUMIFS(INDIRECT("'"&amp;$A22&amp;$B$11&amp;"'!"&amp;"$w:$w"),INDIRECT("'"&amp;$A22&amp;$B$11&amp;"'!"&amp;"$A:$A"),BF$1)/1000</f>
        <v>18</v>
      </c>
      <c r="BG22" s="199">
        <f ca="1">SUMIFS(INDIRECT("'"&amp;$A22&amp;$B$11&amp;"'!"&amp;"$w:$w"),INDIRECT("'"&amp;$A22&amp;$B$11&amp;"'!"&amp;"$A:$A"),BG$1)/1000</f>
        <v>0</v>
      </c>
      <c r="BH22" s="199">
        <f ca="1">SUMIFS(INDIRECT("'"&amp;$A22&amp;$B$11&amp;"'!"&amp;"$w:$w"),INDIRECT("'"&amp;$A22&amp;$B$11&amp;"'!"&amp;"$A:$A"),BH$1)/1000</f>
        <v>0</v>
      </c>
      <c r="BI22" s="199">
        <f ca="1">SUMIFS(INDIRECT("'"&amp;$A22&amp;$B$11&amp;"'!"&amp;"$w:$w"),INDIRECT("'"&amp;$A22&amp;$B$11&amp;"'!"&amp;"$A:$A"),BI$1)/1000</f>
        <v>0</v>
      </c>
      <c r="BJ22" s="199">
        <f ca="1">SUMIFS(INDIRECT("'"&amp;$A22&amp;$B$11&amp;"'!"&amp;"$w:$w"),INDIRECT("'"&amp;$A22&amp;$B$11&amp;"'!"&amp;"$A:$A"),BJ$1)/1000</f>
        <v>0</v>
      </c>
      <c r="BK22" s="199">
        <f ca="1">SUMIFS(INDIRECT("'"&amp;$A22&amp;$B$11&amp;"'!"&amp;"$w:$w"),INDIRECT("'"&amp;$A22&amp;$B$11&amp;"'!"&amp;"$A:$A"),BK$1)/1000</f>
        <v>0</v>
      </c>
      <c r="BL22" s="199">
        <f ca="1">SUMIFS(INDIRECT("'"&amp;$A22&amp;$B$11&amp;"'!"&amp;"$w:$w"),INDIRECT("'"&amp;$A22&amp;$B$11&amp;"'!"&amp;"$A:$A"),BL$1)/1000</f>
        <v>0</v>
      </c>
      <c r="BM22" s="199">
        <f ca="1">SUMIFS(INDIRECT("'"&amp;$A22&amp;$B$11&amp;"'!"&amp;"$w:$w"),INDIRECT("'"&amp;$A22&amp;$B$11&amp;"'!"&amp;"$A:$A"),BM$1)/1000</f>
        <v>0</v>
      </c>
      <c r="BN22" s="199">
        <f ca="1">SUMIFS(INDIRECT("'"&amp;$A22&amp;$B$11&amp;"'!"&amp;"$w:$w"),INDIRECT("'"&amp;$A22&amp;$B$11&amp;"'!"&amp;"$A:$A"),BN$1)/1000</f>
        <v>0</v>
      </c>
      <c r="BO22" s="199">
        <f ca="1">SUMIFS(INDIRECT("'"&amp;$A22&amp;$B$11&amp;"'!"&amp;"$w:$w"),INDIRECT("'"&amp;$A22&amp;$B$11&amp;"'!"&amp;"$A:$A"),BO$1)/1000</f>
        <v>0</v>
      </c>
      <c r="BP22" s="199">
        <f ca="1">SUMIFS(INDIRECT("'"&amp;$A22&amp;$B$11&amp;"'!"&amp;"$w:$w"),INDIRECT("'"&amp;$A22&amp;$B$11&amp;"'!"&amp;"$A:$A"),BP$1)/1000</f>
        <v>0</v>
      </c>
      <c r="BQ22" s="199">
        <f ca="1">SUMIFS(INDIRECT("'"&amp;$A22&amp;$B$11&amp;"'!"&amp;"$w:$w"),INDIRECT("'"&amp;$A22&amp;$B$11&amp;"'!"&amp;"$A:$A"),BQ$1)/1000</f>
        <v>0</v>
      </c>
      <c r="BR22" s="199">
        <f ca="1">SUMIFS(INDIRECT("'"&amp;$A22&amp;$B$11&amp;"'!"&amp;"$w:$w"),INDIRECT("'"&amp;$A22&amp;$B$11&amp;"'!"&amp;"$A:$A"),BR$1)/1000</f>
        <v>0</v>
      </c>
      <c r="BS22" s="199">
        <f ca="1">SUMIFS(INDIRECT("'"&amp;$A22&amp;$B$11&amp;"'!"&amp;"$w:$w"),INDIRECT("'"&amp;$A22&amp;$B$11&amp;"'!"&amp;"$A:$A"),BS$1)/1000</f>
        <v>0</v>
      </c>
      <c r="BT22" s="199">
        <f ca="1">SUMIFS(INDIRECT("'"&amp;$A22&amp;$B$11&amp;"'!"&amp;"$w:$w"),INDIRECT("'"&amp;$A22&amp;$B$11&amp;"'!"&amp;"$A:$A"),BT$1)/1000</f>
        <v>0</v>
      </c>
      <c r="BU22" s="199">
        <f ca="1">SUMIFS(INDIRECT("'"&amp;$A22&amp;$B$11&amp;"'!"&amp;"$w:$w"),INDIRECT("'"&amp;$A22&amp;$B$11&amp;"'!"&amp;"$A:$A"),BU$1)/1000</f>
        <v>0</v>
      </c>
      <c r="BV22" s="199">
        <f ca="1">SUMIFS(INDIRECT("'"&amp;$A22&amp;$B$11&amp;"'!"&amp;"$w:$w"),INDIRECT("'"&amp;$A22&amp;$B$11&amp;"'!"&amp;"$A:$A"),BV$1)/1000</f>
        <v>0</v>
      </c>
      <c r="BW22" s="199">
        <f ca="1">SUMIFS(INDIRECT("'"&amp;$A22&amp;$B$11&amp;"'!"&amp;"$w:$w"),INDIRECT("'"&amp;$A22&amp;$B$11&amp;"'!"&amp;"$A:$A"),BW$1)/1000</f>
        <v>0</v>
      </c>
    </row>
    <row r="23" spans="1:75" x14ac:dyDescent="0.3">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2"/>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row>
    <row r="24" spans="1:75" x14ac:dyDescent="0.3">
      <c r="A24" s="4" t="s">
        <v>11</v>
      </c>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2"/>
      <c r="AG24" s="48">
        <f t="shared" ref="AG24:BL24" ca="1" si="9">SUM(AG25:AG28)</f>
        <v>407.43</v>
      </c>
      <c r="AH24" s="48">
        <f t="shared" ca="1" si="9"/>
        <v>400.83756000000005</v>
      </c>
      <c r="AI24" s="48">
        <f t="shared" ca="1" si="9"/>
        <v>321.920568</v>
      </c>
      <c r="AJ24" s="48">
        <f t="shared" ca="1" si="9"/>
        <v>317.51873963999998</v>
      </c>
      <c r="AK24" s="48">
        <f t="shared" ca="1" si="9"/>
        <v>256.87522318608001</v>
      </c>
      <c r="AL24" s="48">
        <f t="shared" ca="1" si="9"/>
        <v>264.81267656671679</v>
      </c>
      <c r="AM24" s="48">
        <f t="shared" ca="1" si="9"/>
        <v>45.16812231184052</v>
      </c>
      <c r="AN24" s="48">
        <f t="shared" ca="1" si="9"/>
        <v>46.070336072409674</v>
      </c>
      <c r="AO24" s="48">
        <f t="shared" ca="1" si="9"/>
        <v>46.992914453238875</v>
      </c>
      <c r="AP24" s="48">
        <f t="shared" ca="1" si="9"/>
        <v>47.931577649735033</v>
      </c>
      <c r="AQ24" s="48">
        <f t="shared" ca="1" si="9"/>
        <v>48.891428197149722</v>
      </c>
      <c r="AR24" s="48">
        <f t="shared" ca="1" si="9"/>
        <v>49.868013386784327</v>
      </c>
      <c r="AS24" s="48">
        <f t="shared" ca="1" si="9"/>
        <v>50.866641896314576</v>
      </c>
      <c r="AT24" s="48">
        <f t="shared" ca="1" si="9"/>
        <v>31.831778355576567</v>
      </c>
      <c r="AU24" s="48">
        <f t="shared" ca="1" si="9"/>
        <v>32.469733401451165</v>
      </c>
      <c r="AV24" s="48">
        <f t="shared" ca="1" si="9"/>
        <v>33.117782201141864</v>
      </c>
      <c r="AW24" s="48">
        <f t="shared" ca="1" si="9"/>
        <v>33.781510630869789</v>
      </c>
      <c r="AX24" s="48">
        <f t="shared" ca="1" si="9"/>
        <v>34.455740602067998</v>
      </c>
      <c r="AY24" s="48">
        <f t="shared" ca="1" si="9"/>
        <v>35.146283660356936</v>
      </c>
      <c r="AZ24" s="48">
        <f t="shared" ca="1" si="9"/>
        <v>35.847752522391545</v>
      </c>
      <c r="BA24" s="48">
        <f t="shared" ca="1" si="9"/>
        <v>36.566193520235359</v>
      </c>
      <c r="BB24" s="48">
        <f t="shared" ca="1" si="9"/>
        <v>37.296001724296175</v>
      </c>
      <c r="BC24" s="48">
        <f t="shared" ca="1" si="9"/>
        <v>38.043467738452868</v>
      </c>
      <c r="BD24" s="48">
        <f t="shared" ca="1" si="9"/>
        <v>38.802760193957738</v>
      </c>
      <c r="BE24" s="48">
        <f t="shared" ca="1" si="9"/>
        <v>39.580423835086364</v>
      </c>
      <c r="BF24" s="48">
        <f t="shared" ca="1" si="9"/>
        <v>40.370391705793622</v>
      </c>
      <c r="BG24" s="48">
        <f t="shared" ca="1" si="9"/>
        <v>0</v>
      </c>
      <c r="BH24" s="48">
        <f t="shared" ca="1" si="9"/>
        <v>0</v>
      </c>
      <c r="BI24" s="48">
        <f t="shared" ca="1" si="9"/>
        <v>0</v>
      </c>
      <c r="BJ24" s="48">
        <f t="shared" ca="1" si="9"/>
        <v>0</v>
      </c>
      <c r="BK24" s="48">
        <f t="shared" ca="1" si="9"/>
        <v>0</v>
      </c>
      <c r="BL24" s="48">
        <f t="shared" ca="1" si="9"/>
        <v>0</v>
      </c>
      <c r="BM24" s="48">
        <f t="shared" ref="BM24:BW24" ca="1" si="10">SUM(BM25:BM28)</f>
        <v>0</v>
      </c>
      <c r="BN24" s="48">
        <f t="shared" ca="1" si="10"/>
        <v>0</v>
      </c>
      <c r="BO24" s="48">
        <f t="shared" ca="1" si="10"/>
        <v>0</v>
      </c>
      <c r="BP24" s="48">
        <f t="shared" ca="1" si="10"/>
        <v>0</v>
      </c>
      <c r="BQ24" s="48">
        <f t="shared" ca="1" si="10"/>
        <v>0</v>
      </c>
      <c r="BR24" s="48">
        <f t="shared" ca="1" si="10"/>
        <v>0</v>
      </c>
      <c r="BS24" s="48">
        <f t="shared" ca="1" si="10"/>
        <v>0</v>
      </c>
      <c r="BT24" s="48">
        <f t="shared" ca="1" si="10"/>
        <v>0</v>
      </c>
      <c r="BU24" s="48">
        <f t="shared" ca="1" si="10"/>
        <v>0</v>
      </c>
      <c r="BV24" s="48">
        <f t="shared" ca="1" si="10"/>
        <v>0</v>
      </c>
      <c r="BW24" s="48">
        <f t="shared" ca="1" si="10"/>
        <v>0</v>
      </c>
    </row>
    <row r="25" spans="1:75" x14ac:dyDescent="0.3">
      <c r="A25" s="5" t="s">
        <v>66</v>
      </c>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2"/>
      <c r="AG25" s="51">
        <f ca="1">AG19*AG$14</f>
        <v>277.375</v>
      </c>
      <c r="AH25" s="51">
        <f t="shared" ref="AH25:BW25" ca="1" si="11">AH19*AH$14</f>
        <v>76.522440000000003</v>
      </c>
      <c r="AI25" s="51">
        <f t="shared" ca="1" si="11"/>
        <v>6.8749631999999998</v>
      </c>
      <c r="AJ25" s="51">
        <f t="shared" ca="1" si="11"/>
        <v>10.195025255999999</v>
      </c>
      <c r="AK25" s="51">
        <f t="shared" ca="1" si="11"/>
        <v>7.1527117132799996</v>
      </c>
      <c r="AL25" s="51">
        <f t="shared" ca="1" si="11"/>
        <v>7.2946618667424001</v>
      </c>
      <c r="AM25" s="51">
        <f t="shared" ca="1" si="11"/>
        <v>7.441681266496512</v>
      </c>
      <c r="AN25" s="51">
        <f t="shared" ca="1" si="11"/>
        <v>7.5893662061587932</v>
      </c>
      <c r="AO25" s="51">
        <f t="shared" ca="1" si="11"/>
        <v>7.7423251896629717</v>
      </c>
      <c r="AP25" s="51">
        <f t="shared" ca="1" si="11"/>
        <v>7.8959766008876091</v>
      </c>
      <c r="AQ25" s="51">
        <f t="shared" ca="1" si="11"/>
        <v>8.0551151273253563</v>
      </c>
      <c r="AR25" s="51">
        <f t="shared" ca="1" si="11"/>
        <v>8.2149740555634683</v>
      </c>
      <c r="AS25" s="51">
        <f t="shared" ca="1" si="11"/>
        <v>8.3805417784693006</v>
      </c>
      <c r="AT25" s="51">
        <f t="shared" ca="1" si="11"/>
        <v>8.5468590074082318</v>
      </c>
      <c r="AU25" s="51">
        <f t="shared" ca="1" si="11"/>
        <v>8.7191156663194604</v>
      </c>
      <c r="AV25" s="51">
        <f t="shared" ca="1" si="11"/>
        <v>8.8921521113075261</v>
      </c>
      <c r="AW25" s="51">
        <f t="shared" ca="1" si="11"/>
        <v>9.0713679392387672</v>
      </c>
      <c r="AX25" s="51">
        <f t="shared" ca="1" si="11"/>
        <v>9.2513950566043519</v>
      </c>
      <c r="AY25" s="51">
        <f t="shared" ca="1" si="11"/>
        <v>9.4378512039840139</v>
      </c>
      <c r="AZ25" s="51">
        <f t="shared" ca="1" si="11"/>
        <v>9.6251514168911676</v>
      </c>
      <c r="BA25" s="51">
        <f t="shared" ca="1" si="11"/>
        <v>9.8191403926249681</v>
      </c>
      <c r="BB25" s="51">
        <f t="shared" ca="1" si="11"/>
        <v>10.014007534133572</v>
      </c>
      <c r="BC25" s="51">
        <f t="shared" ca="1" si="11"/>
        <v>10.215833664487018</v>
      </c>
      <c r="BD25" s="51">
        <f t="shared" ca="1" si="11"/>
        <v>10.418573438512567</v>
      </c>
      <c r="BE25" s="51">
        <f t="shared" ca="1" si="11"/>
        <v>10.628553344532294</v>
      </c>
      <c r="BF25" s="51">
        <f t="shared" ca="1" si="11"/>
        <v>10.839483805428475</v>
      </c>
      <c r="BG25" s="51">
        <f t="shared" ca="1" si="11"/>
        <v>0</v>
      </c>
      <c r="BH25" s="51">
        <f t="shared" ca="1" si="11"/>
        <v>0</v>
      </c>
      <c r="BI25" s="51">
        <f t="shared" ca="1" si="11"/>
        <v>0</v>
      </c>
      <c r="BJ25" s="51">
        <f t="shared" ca="1" si="11"/>
        <v>0</v>
      </c>
      <c r="BK25" s="51">
        <f t="shared" ca="1" si="11"/>
        <v>0</v>
      </c>
      <c r="BL25" s="51">
        <f t="shared" ca="1" si="11"/>
        <v>0</v>
      </c>
      <c r="BM25" s="51">
        <f t="shared" ca="1" si="11"/>
        <v>0</v>
      </c>
      <c r="BN25" s="51">
        <f t="shared" ca="1" si="11"/>
        <v>0</v>
      </c>
      <c r="BO25" s="51">
        <f t="shared" ca="1" si="11"/>
        <v>0</v>
      </c>
      <c r="BP25" s="51">
        <f t="shared" ca="1" si="11"/>
        <v>0</v>
      </c>
      <c r="BQ25" s="51">
        <f t="shared" ca="1" si="11"/>
        <v>0</v>
      </c>
      <c r="BR25" s="51">
        <f t="shared" ca="1" si="11"/>
        <v>0</v>
      </c>
      <c r="BS25" s="51">
        <f t="shared" ca="1" si="11"/>
        <v>0</v>
      </c>
      <c r="BT25" s="51">
        <f t="shared" ca="1" si="11"/>
        <v>0</v>
      </c>
      <c r="BU25" s="51">
        <f t="shared" ca="1" si="11"/>
        <v>0</v>
      </c>
      <c r="BV25" s="51">
        <f t="shared" ca="1" si="11"/>
        <v>0</v>
      </c>
      <c r="BW25" s="51">
        <f t="shared" ca="1" si="11"/>
        <v>0</v>
      </c>
    </row>
    <row r="26" spans="1:75" x14ac:dyDescent="0.3">
      <c r="A26" s="5" t="s">
        <v>67</v>
      </c>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2"/>
      <c r="AG26" s="118"/>
      <c r="AH26" s="118"/>
      <c r="AI26" s="118"/>
      <c r="AJ26" s="118"/>
      <c r="AK26" s="118"/>
      <c r="AL26" s="118"/>
      <c r="AM26" s="118"/>
      <c r="AN26" s="118"/>
      <c r="AO26" s="118"/>
      <c r="AP26" s="118"/>
      <c r="AQ26" s="118"/>
      <c r="AR26" s="118"/>
      <c r="AS26" s="118"/>
      <c r="AT26" s="118"/>
      <c r="AU26" s="118"/>
      <c r="AV26" s="118"/>
      <c r="AW26" s="118"/>
      <c r="AX26" s="118"/>
      <c r="AY26" s="118"/>
      <c r="AZ26" s="118"/>
      <c r="BA26" s="118"/>
      <c r="BB26" s="118"/>
      <c r="BC26" s="118"/>
      <c r="BD26" s="118"/>
      <c r="BE26" s="118"/>
      <c r="BF26" s="118"/>
      <c r="BG26" s="118"/>
      <c r="BH26" s="118"/>
      <c r="BI26" s="118"/>
      <c r="BJ26" s="118"/>
      <c r="BK26" s="118"/>
      <c r="BL26" s="118"/>
      <c r="BM26" s="118"/>
      <c r="BN26" s="118"/>
      <c r="BO26" s="118"/>
      <c r="BP26" s="118"/>
      <c r="BQ26" s="118"/>
      <c r="BR26" s="118"/>
      <c r="BS26" s="118"/>
      <c r="BT26" s="118"/>
      <c r="BU26" s="118"/>
      <c r="BV26" s="118"/>
      <c r="BW26" s="118"/>
    </row>
    <row r="27" spans="1:75" x14ac:dyDescent="0.3">
      <c r="A27" s="5" t="s">
        <v>69</v>
      </c>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2"/>
      <c r="AG27" s="51">
        <f t="shared" ref="AG27:BW27" ca="1" si="12">AG21*AG$14</f>
        <v>32.5</v>
      </c>
      <c r="AH27" s="51">
        <f t="shared" ca="1" si="12"/>
        <v>54.06</v>
      </c>
      <c r="AI27" s="51">
        <f t="shared" ca="1" si="12"/>
        <v>81.671400000000006</v>
      </c>
      <c r="AJ27" s="51">
        <f t="shared" ca="1" si="12"/>
        <v>16.448723999999999</v>
      </c>
      <c r="AK27" s="51">
        <f t="shared" ca="1" si="12"/>
        <v>16.777698479999998</v>
      </c>
      <c r="AL27" s="51">
        <f t="shared" ca="1" si="12"/>
        <v>17.113252449600001</v>
      </c>
      <c r="AM27" s="51">
        <f t="shared" ca="1" si="12"/>
        <v>17.455517498592002</v>
      </c>
      <c r="AN27" s="51">
        <f t="shared" ca="1" si="12"/>
        <v>17.80462784856384</v>
      </c>
      <c r="AO27" s="51">
        <f t="shared" ca="1" si="12"/>
        <v>18.16072040553512</v>
      </c>
      <c r="AP27" s="51">
        <f t="shared" ca="1" si="12"/>
        <v>18.52393481364582</v>
      </c>
      <c r="AQ27" s="51">
        <f t="shared" ca="1" si="12"/>
        <v>18.894413509918738</v>
      </c>
      <c r="AR27" s="51">
        <f t="shared" ca="1" si="12"/>
        <v>19.272301780117115</v>
      </c>
      <c r="AS27" s="51">
        <f t="shared" ca="1" si="12"/>
        <v>19.657747815719453</v>
      </c>
      <c r="AT27" s="51">
        <f t="shared" ca="1" si="12"/>
        <v>0</v>
      </c>
      <c r="AU27" s="51">
        <f t="shared" ca="1" si="12"/>
        <v>0</v>
      </c>
      <c r="AV27" s="51">
        <f t="shared" ca="1" si="12"/>
        <v>0</v>
      </c>
      <c r="AW27" s="51">
        <f t="shared" ca="1" si="12"/>
        <v>0</v>
      </c>
      <c r="AX27" s="51">
        <f t="shared" ca="1" si="12"/>
        <v>0</v>
      </c>
      <c r="AY27" s="51">
        <f t="shared" ca="1" si="12"/>
        <v>0</v>
      </c>
      <c r="AZ27" s="51">
        <f t="shared" ca="1" si="12"/>
        <v>0</v>
      </c>
      <c r="BA27" s="51">
        <f t="shared" ca="1" si="12"/>
        <v>0</v>
      </c>
      <c r="BB27" s="51">
        <f t="shared" ca="1" si="12"/>
        <v>0</v>
      </c>
      <c r="BC27" s="51">
        <f t="shared" ca="1" si="12"/>
        <v>0</v>
      </c>
      <c r="BD27" s="51">
        <f t="shared" ca="1" si="12"/>
        <v>0</v>
      </c>
      <c r="BE27" s="51">
        <f t="shared" ca="1" si="12"/>
        <v>0</v>
      </c>
      <c r="BF27" s="51">
        <f t="shared" ca="1" si="12"/>
        <v>0</v>
      </c>
      <c r="BG27" s="51">
        <f t="shared" ca="1" si="12"/>
        <v>0</v>
      </c>
      <c r="BH27" s="51">
        <f t="shared" ca="1" si="12"/>
        <v>0</v>
      </c>
      <c r="BI27" s="51">
        <f t="shared" ca="1" si="12"/>
        <v>0</v>
      </c>
      <c r="BJ27" s="51">
        <f t="shared" ca="1" si="12"/>
        <v>0</v>
      </c>
      <c r="BK27" s="51">
        <f t="shared" ca="1" si="12"/>
        <v>0</v>
      </c>
      <c r="BL27" s="51">
        <f t="shared" ca="1" si="12"/>
        <v>0</v>
      </c>
      <c r="BM27" s="51">
        <f t="shared" ca="1" si="12"/>
        <v>0</v>
      </c>
      <c r="BN27" s="51">
        <f t="shared" ca="1" si="12"/>
        <v>0</v>
      </c>
      <c r="BO27" s="51">
        <f t="shared" ca="1" si="12"/>
        <v>0</v>
      </c>
      <c r="BP27" s="51">
        <f t="shared" ca="1" si="12"/>
        <v>0</v>
      </c>
      <c r="BQ27" s="51">
        <f t="shared" ca="1" si="12"/>
        <v>0</v>
      </c>
      <c r="BR27" s="51">
        <f t="shared" ca="1" si="12"/>
        <v>0</v>
      </c>
      <c r="BS27" s="51">
        <f t="shared" ca="1" si="12"/>
        <v>0</v>
      </c>
      <c r="BT27" s="51">
        <f t="shared" ca="1" si="12"/>
        <v>0</v>
      </c>
      <c r="BU27" s="51">
        <f t="shared" ca="1" si="12"/>
        <v>0</v>
      </c>
      <c r="BV27" s="51">
        <f t="shared" ca="1" si="12"/>
        <v>0</v>
      </c>
      <c r="BW27" s="51">
        <f t="shared" ca="1" si="12"/>
        <v>0</v>
      </c>
    </row>
    <row r="28" spans="1:75" x14ac:dyDescent="0.3">
      <c r="A28" s="5" t="s">
        <v>68</v>
      </c>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2"/>
      <c r="AG28" s="51">
        <f t="shared" ref="AG28:BW28" ca="1" si="13">AG22*AG$14</f>
        <v>97.555000000000007</v>
      </c>
      <c r="AH28" s="51">
        <f t="shared" ca="1" si="13"/>
        <v>270.25512000000003</v>
      </c>
      <c r="AI28" s="51">
        <f t="shared" ca="1" si="13"/>
        <v>233.3742048</v>
      </c>
      <c r="AJ28" s="51">
        <f t="shared" ca="1" si="13"/>
        <v>290.874990384</v>
      </c>
      <c r="AK28" s="51">
        <f t="shared" ca="1" si="13"/>
        <v>232.9448129928</v>
      </c>
      <c r="AL28" s="51">
        <f t="shared" ca="1" si="13"/>
        <v>240.4047622503744</v>
      </c>
      <c r="AM28" s="51">
        <f t="shared" ca="1" si="13"/>
        <v>20.270923546752002</v>
      </c>
      <c r="AN28" s="51">
        <f t="shared" ca="1" si="13"/>
        <v>20.676342017687041</v>
      </c>
      <c r="AO28" s="51">
        <f t="shared" ca="1" si="13"/>
        <v>21.089868858040784</v>
      </c>
      <c r="AP28" s="51">
        <f t="shared" ca="1" si="13"/>
        <v>21.511666235201599</v>
      </c>
      <c r="AQ28" s="51">
        <f t="shared" ca="1" si="13"/>
        <v>21.941899559905632</v>
      </c>
      <c r="AR28" s="51">
        <f t="shared" ca="1" si="13"/>
        <v>22.380737551103746</v>
      </c>
      <c r="AS28" s="51">
        <f t="shared" ca="1" si="13"/>
        <v>22.828352302125818</v>
      </c>
      <c r="AT28" s="51">
        <f t="shared" ca="1" si="13"/>
        <v>23.284919348168334</v>
      </c>
      <c r="AU28" s="51">
        <f t="shared" ca="1" si="13"/>
        <v>23.750617735131701</v>
      </c>
      <c r="AV28" s="51">
        <f t="shared" ca="1" si="13"/>
        <v>24.22563008983434</v>
      </c>
      <c r="AW28" s="51">
        <f t="shared" ca="1" si="13"/>
        <v>24.710142691631024</v>
      </c>
      <c r="AX28" s="51">
        <f t="shared" ca="1" si="13"/>
        <v>25.204345545463646</v>
      </c>
      <c r="AY28" s="51">
        <f t="shared" ca="1" si="13"/>
        <v>25.708432456372922</v>
      </c>
      <c r="AZ28" s="51">
        <f t="shared" ca="1" si="13"/>
        <v>26.222601105500377</v>
      </c>
      <c r="BA28" s="51">
        <f t="shared" ca="1" si="13"/>
        <v>26.747053127610389</v>
      </c>
      <c r="BB28" s="51">
        <f t="shared" ca="1" si="13"/>
        <v>27.2819941901626</v>
      </c>
      <c r="BC28" s="51">
        <f t="shared" ca="1" si="13"/>
        <v>27.82763407396585</v>
      </c>
      <c r="BD28" s="51">
        <f t="shared" ca="1" si="13"/>
        <v>28.384186755445167</v>
      </c>
      <c r="BE28" s="51">
        <f t="shared" ca="1" si="13"/>
        <v>28.951870490554072</v>
      </c>
      <c r="BF28" s="51">
        <f t="shared" ca="1" si="13"/>
        <v>29.53090790036515</v>
      </c>
      <c r="BG28" s="51">
        <f t="shared" ca="1" si="13"/>
        <v>0</v>
      </c>
      <c r="BH28" s="51">
        <f t="shared" ca="1" si="13"/>
        <v>0</v>
      </c>
      <c r="BI28" s="51">
        <f t="shared" ca="1" si="13"/>
        <v>0</v>
      </c>
      <c r="BJ28" s="51">
        <f t="shared" ca="1" si="13"/>
        <v>0</v>
      </c>
      <c r="BK28" s="51">
        <f t="shared" ca="1" si="13"/>
        <v>0</v>
      </c>
      <c r="BL28" s="51">
        <f t="shared" ca="1" si="13"/>
        <v>0</v>
      </c>
      <c r="BM28" s="51">
        <f t="shared" ca="1" si="13"/>
        <v>0</v>
      </c>
      <c r="BN28" s="51">
        <f t="shared" ca="1" si="13"/>
        <v>0</v>
      </c>
      <c r="BO28" s="51">
        <f t="shared" ca="1" si="13"/>
        <v>0</v>
      </c>
      <c r="BP28" s="51">
        <f t="shared" ca="1" si="13"/>
        <v>0</v>
      </c>
      <c r="BQ28" s="51">
        <f t="shared" ca="1" si="13"/>
        <v>0</v>
      </c>
      <c r="BR28" s="51">
        <f t="shared" ca="1" si="13"/>
        <v>0</v>
      </c>
      <c r="BS28" s="51">
        <f t="shared" ca="1" si="13"/>
        <v>0</v>
      </c>
      <c r="BT28" s="51">
        <f t="shared" ca="1" si="13"/>
        <v>0</v>
      </c>
      <c r="BU28" s="51">
        <f t="shared" ca="1" si="13"/>
        <v>0</v>
      </c>
      <c r="BV28" s="51">
        <f t="shared" ca="1" si="13"/>
        <v>0</v>
      </c>
      <c r="BW28" s="51">
        <f t="shared" ca="1" si="13"/>
        <v>0</v>
      </c>
    </row>
    <row r="29" spans="1:75" x14ac:dyDescent="0.3">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row>
    <row r="30" spans="1:75" s="204" customFormat="1" x14ac:dyDescent="0.3">
      <c r="A30" s="204" t="s">
        <v>15</v>
      </c>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c r="AE30" s="205"/>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206"/>
      <c r="BF30" s="206"/>
      <c r="BG30" s="206"/>
      <c r="BH30" s="206"/>
      <c r="BI30" s="206"/>
      <c r="BJ30" s="206"/>
      <c r="BK30" s="206"/>
      <c r="BL30" s="206"/>
      <c r="BM30" s="206"/>
      <c r="BN30" s="206"/>
      <c r="BO30" s="206"/>
      <c r="BP30" s="206"/>
      <c r="BQ30" s="206"/>
      <c r="BR30" s="206"/>
      <c r="BS30" s="206"/>
      <c r="BT30" s="206"/>
      <c r="BU30" s="206"/>
      <c r="BV30" s="206"/>
      <c r="BW30" s="206"/>
    </row>
    <row r="31" spans="1:75" s="11" customFormat="1" ht="9.6" x14ac:dyDescent="0.2"/>
    <row r="32" spans="1:75" x14ac:dyDescent="0.3">
      <c r="A32" s="4" t="s">
        <v>12</v>
      </c>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2"/>
      <c r="AG32" s="48">
        <f t="shared" ref="AG32:BL32" ca="1" si="14">SUM(AG33:AG36)</f>
        <v>11.7</v>
      </c>
      <c r="AH32" s="48">
        <f t="shared" ca="1" si="14"/>
        <v>11.7</v>
      </c>
      <c r="AI32" s="48">
        <f t="shared" ca="1" si="14"/>
        <v>23.4</v>
      </c>
      <c r="AJ32" s="48">
        <f t="shared" ca="1" si="14"/>
        <v>0</v>
      </c>
      <c r="AK32" s="48">
        <f t="shared" ca="1" si="14"/>
        <v>11.7</v>
      </c>
      <c r="AL32" s="48">
        <f t="shared" ca="1" si="14"/>
        <v>11.7</v>
      </c>
      <c r="AM32" s="48">
        <f t="shared" ca="1" si="14"/>
        <v>0</v>
      </c>
      <c r="AN32" s="48">
        <f t="shared" ca="1" si="14"/>
        <v>0</v>
      </c>
      <c r="AO32" s="48">
        <f t="shared" ca="1" si="14"/>
        <v>0</v>
      </c>
      <c r="AP32" s="48">
        <f t="shared" ca="1" si="14"/>
        <v>0</v>
      </c>
      <c r="AQ32" s="48">
        <f t="shared" ca="1" si="14"/>
        <v>0</v>
      </c>
      <c r="AR32" s="48">
        <f t="shared" ca="1" si="14"/>
        <v>0</v>
      </c>
      <c r="AS32" s="48">
        <f t="shared" ca="1" si="14"/>
        <v>0</v>
      </c>
      <c r="AT32" s="48">
        <f t="shared" ca="1" si="14"/>
        <v>0</v>
      </c>
      <c r="AU32" s="48">
        <f t="shared" ca="1" si="14"/>
        <v>0</v>
      </c>
      <c r="AV32" s="48">
        <f t="shared" ca="1" si="14"/>
        <v>0</v>
      </c>
      <c r="AW32" s="48">
        <f t="shared" ca="1" si="14"/>
        <v>93.1</v>
      </c>
      <c r="AX32" s="48">
        <f t="shared" ca="1" si="14"/>
        <v>0</v>
      </c>
      <c r="AY32" s="48">
        <f t="shared" ca="1" si="14"/>
        <v>0</v>
      </c>
      <c r="AZ32" s="48">
        <f t="shared" ca="1" si="14"/>
        <v>0</v>
      </c>
      <c r="BA32" s="48">
        <f t="shared" ca="1" si="14"/>
        <v>0</v>
      </c>
      <c r="BB32" s="48">
        <f t="shared" ca="1" si="14"/>
        <v>0</v>
      </c>
      <c r="BC32" s="48">
        <f t="shared" ca="1" si="14"/>
        <v>0</v>
      </c>
      <c r="BD32" s="48">
        <f t="shared" ca="1" si="14"/>
        <v>0</v>
      </c>
      <c r="BE32" s="48">
        <f t="shared" ca="1" si="14"/>
        <v>0</v>
      </c>
      <c r="BF32" s="48">
        <f t="shared" ca="1" si="14"/>
        <v>0</v>
      </c>
      <c r="BG32" s="48">
        <f t="shared" ca="1" si="14"/>
        <v>0</v>
      </c>
      <c r="BH32" s="48">
        <f t="shared" ca="1" si="14"/>
        <v>0</v>
      </c>
      <c r="BI32" s="48">
        <f t="shared" ca="1" si="14"/>
        <v>0</v>
      </c>
      <c r="BJ32" s="48">
        <f ca="1">SUM(BJ33:BJ36)</f>
        <v>940.40099999999995</v>
      </c>
      <c r="BK32" s="48">
        <f t="shared" ca="1" si="14"/>
        <v>0</v>
      </c>
      <c r="BL32" s="48">
        <f t="shared" ca="1" si="14"/>
        <v>0</v>
      </c>
      <c r="BM32" s="48">
        <f t="shared" ref="BM32:BW32" ca="1" si="15">SUM(BM33:BM36)</f>
        <v>0</v>
      </c>
      <c r="BN32" s="48">
        <f t="shared" ca="1" si="15"/>
        <v>0</v>
      </c>
      <c r="BO32" s="48">
        <f t="shared" ca="1" si="15"/>
        <v>0</v>
      </c>
      <c r="BP32" s="48">
        <f t="shared" ca="1" si="15"/>
        <v>0</v>
      </c>
      <c r="BQ32" s="48">
        <f t="shared" ca="1" si="15"/>
        <v>0</v>
      </c>
      <c r="BR32" s="48">
        <f t="shared" ca="1" si="15"/>
        <v>0</v>
      </c>
      <c r="BS32" s="48">
        <f t="shared" ca="1" si="15"/>
        <v>0</v>
      </c>
      <c r="BT32" s="48">
        <f t="shared" ca="1" si="15"/>
        <v>0</v>
      </c>
      <c r="BU32" s="48">
        <f t="shared" ca="1" si="15"/>
        <v>0</v>
      </c>
      <c r="BV32" s="48">
        <f t="shared" ca="1" si="15"/>
        <v>0</v>
      </c>
      <c r="BW32" s="48">
        <f t="shared" ca="1" si="15"/>
        <v>0</v>
      </c>
    </row>
    <row r="33" spans="1:75" x14ac:dyDescent="0.3">
      <c r="A33" s="5" t="s">
        <v>66</v>
      </c>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2"/>
      <c r="AG33" s="199">
        <f t="shared" ref="AG33:BW33" ca="1" si="16">SUMIFS(INDIRECT("'"&amp;$A33&amp;$B$11&amp;"'!"&amp;"$w:$w"),INDIRECT("'"&amp;$A33&amp;$B$11&amp;"'!"&amp;"$A:$A"),AG$1)/1000</f>
        <v>0</v>
      </c>
      <c r="AH33" s="199">
        <f t="shared" ca="1" si="16"/>
        <v>0</v>
      </c>
      <c r="AI33" s="199">
        <f t="shared" ca="1" si="16"/>
        <v>0</v>
      </c>
      <c r="AJ33" s="199">
        <f t="shared" ca="1" si="16"/>
        <v>0</v>
      </c>
      <c r="AK33" s="199">
        <f t="shared" ca="1" si="16"/>
        <v>0</v>
      </c>
      <c r="AL33" s="199">
        <f t="shared" ca="1" si="16"/>
        <v>0</v>
      </c>
      <c r="AM33" s="199">
        <f t="shared" ca="1" si="16"/>
        <v>0</v>
      </c>
      <c r="AN33" s="199">
        <f t="shared" ca="1" si="16"/>
        <v>0</v>
      </c>
      <c r="AO33" s="199">
        <f t="shared" ca="1" si="16"/>
        <v>0</v>
      </c>
      <c r="AP33" s="199">
        <f t="shared" ca="1" si="16"/>
        <v>0</v>
      </c>
      <c r="AQ33" s="199">
        <f t="shared" ca="1" si="16"/>
        <v>0</v>
      </c>
      <c r="AR33" s="199">
        <f t="shared" ca="1" si="16"/>
        <v>0</v>
      </c>
      <c r="AS33" s="199">
        <f t="shared" ca="1" si="16"/>
        <v>0</v>
      </c>
      <c r="AT33" s="199">
        <f t="shared" ca="1" si="16"/>
        <v>0</v>
      </c>
      <c r="AU33" s="199">
        <f t="shared" ca="1" si="16"/>
        <v>0</v>
      </c>
      <c r="AV33" s="199">
        <f t="shared" ca="1" si="16"/>
        <v>0</v>
      </c>
      <c r="AW33" s="199">
        <f t="shared" ca="1" si="16"/>
        <v>0</v>
      </c>
      <c r="AX33" s="199">
        <f t="shared" ca="1" si="16"/>
        <v>0</v>
      </c>
      <c r="AY33" s="199">
        <f t="shared" ca="1" si="16"/>
        <v>0</v>
      </c>
      <c r="AZ33" s="199">
        <f t="shared" ca="1" si="16"/>
        <v>0</v>
      </c>
      <c r="BA33" s="199">
        <f t="shared" ca="1" si="16"/>
        <v>0</v>
      </c>
      <c r="BB33" s="199">
        <f t="shared" ca="1" si="16"/>
        <v>0</v>
      </c>
      <c r="BC33" s="199">
        <f t="shared" ca="1" si="16"/>
        <v>0</v>
      </c>
      <c r="BD33" s="199">
        <f t="shared" ca="1" si="16"/>
        <v>0</v>
      </c>
      <c r="BE33" s="199">
        <f t="shared" ca="1" si="16"/>
        <v>0</v>
      </c>
      <c r="BF33" s="199">
        <f t="shared" ca="1" si="16"/>
        <v>0</v>
      </c>
      <c r="BG33" s="199">
        <f t="shared" ca="1" si="16"/>
        <v>0</v>
      </c>
      <c r="BH33" s="199">
        <f t="shared" ca="1" si="16"/>
        <v>0</v>
      </c>
      <c r="BI33" s="199">
        <f t="shared" ca="1" si="16"/>
        <v>0</v>
      </c>
      <c r="BJ33" s="199">
        <f t="shared" ca="1" si="16"/>
        <v>249.24600000000001</v>
      </c>
      <c r="BK33" s="199">
        <f t="shared" ca="1" si="16"/>
        <v>0</v>
      </c>
      <c r="BL33" s="199">
        <f t="shared" ca="1" si="16"/>
        <v>0</v>
      </c>
      <c r="BM33" s="199">
        <f t="shared" ca="1" si="16"/>
        <v>0</v>
      </c>
      <c r="BN33" s="199">
        <f t="shared" ca="1" si="16"/>
        <v>0</v>
      </c>
      <c r="BO33" s="199">
        <f t="shared" ca="1" si="16"/>
        <v>0</v>
      </c>
      <c r="BP33" s="199">
        <f t="shared" ca="1" si="16"/>
        <v>0</v>
      </c>
      <c r="BQ33" s="199">
        <f t="shared" ca="1" si="16"/>
        <v>0</v>
      </c>
      <c r="BR33" s="199">
        <f t="shared" ca="1" si="16"/>
        <v>0</v>
      </c>
      <c r="BS33" s="199">
        <f t="shared" ca="1" si="16"/>
        <v>0</v>
      </c>
      <c r="BT33" s="199">
        <f t="shared" ca="1" si="16"/>
        <v>0</v>
      </c>
      <c r="BU33" s="199">
        <f t="shared" ca="1" si="16"/>
        <v>0</v>
      </c>
      <c r="BV33" s="199">
        <f t="shared" ca="1" si="16"/>
        <v>0</v>
      </c>
      <c r="BW33" s="199">
        <f t="shared" ca="1" si="16"/>
        <v>0</v>
      </c>
    </row>
    <row r="34" spans="1:75" x14ac:dyDescent="0.3">
      <c r="A34" s="5" t="s">
        <v>67</v>
      </c>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2"/>
      <c r="AG34" s="118"/>
      <c r="AH34" s="118"/>
      <c r="AI34" s="118"/>
      <c r="AJ34" s="118"/>
      <c r="AK34" s="118"/>
      <c r="AL34" s="118"/>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c r="BO34" s="118"/>
      <c r="BP34" s="118"/>
      <c r="BQ34" s="118"/>
      <c r="BR34" s="118"/>
      <c r="BS34" s="118"/>
      <c r="BT34" s="118"/>
      <c r="BU34" s="118"/>
      <c r="BV34" s="118"/>
      <c r="BW34" s="118"/>
    </row>
    <row r="35" spans="1:75" x14ac:dyDescent="0.3">
      <c r="A35" s="5" t="s">
        <v>69</v>
      </c>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2"/>
      <c r="AG35" s="199">
        <f ca="1">SUMIFS(INDIRECT("'"&amp;$A35&amp;$B$11&amp;"'!"&amp;"$y:$y"),INDIRECT("'"&amp;$A35&amp;$B$11&amp;"'!"&amp;"$A:$A"),AG$1)/1000</f>
        <v>0</v>
      </c>
      <c r="AH35" s="199">
        <f ca="1">SUMIFS(INDIRECT("'"&amp;$A35&amp;$B$11&amp;"'!"&amp;"$y:$y"),INDIRECT("'"&amp;$A35&amp;$B$11&amp;"'!"&amp;"$A:$A"),AH$1)/1000</f>
        <v>0</v>
      </c>
      <c r="AI35" s="199">
        <f ca="1">SUMIFS(INDIRECT("'"&amp;$A35&amp;$B$11&amp;"'!"&amp;"$y:$y"),INDIRECT("'"&amp;$A35&amp;$B$11&amp;"'!"&amp;"$A:$A"),AI$1)/1000</f>
        <v>0</v>
      </c>
      <c r="AJ35" s="199">
        <f ca="1">SUMIFS(INDIRECT("'"&amp;$A35&amp;$B$11&amp;"'!"&amp;"$y:$y"),INDIRECT("'"&amp;$A35&amp;$B$11&amp;"'!"&amp;"$A:$A"),AJ$1)/1000</f>
        <v>0</v>
      </c>
      <c r="AK35" s="199">
        <f ca="1">SUMIFS(INDIRECT("'"&amp;$A35&amp;$B$11&amp;"'!"&amp;"$y:$y"),INDIRECT("'"&amp;$A35&amp;$B$11&amp;"'!"&amp;"$A:$A"),AK$1)/1000</f>
        <v>0</v>
      </c>
      <c r="AL35" s="199">
        <f ca="1">SUMIFS(INDIRECT("'"&amp;$A35&amp;$B$11&amp;"'!"&amp;"$y:$y"),INDIRECT("'"&amp;$A35&amp;$B$11&amp;"'!"&amp;"$A:$A"),AL$1)/1000</f>
        <v>0</v>
      </c>
      <c r="AM35" s="199">
        <f ca="1">SUMIFS(INDIRECT("'"&amp;$A35&amp;$B$11&amp;"'!"&amp;"$y:$y"),INDIRECT("'"&amp;$A35&amp;$B$11&amp;"'!"&amp;"$A:$A"),AM$1)/1000</f>
        <v>0</v>
      </c>
      <c r="AN35" s="199">
        <f ca="1">SUMIFS(INDIRECT("'"&amp;$A35&amp;$B$11&amp;"'!"&amp;"$y:$y"),INDIRECT("'"&amp;$A35&amp;$B$11&amp;"'!"&amp;"$A:$A"),AN$1)/1000</f>
        <v>0</v>
      </c>
      <c r="AO35" s="199">
        <f ca="1">SUMIFS(INDIRECT("'"&amp;$A35&amp;$B$11&amp;"'!"&amp;"$y:$y"),INDIRECT("'"&amp;$A35&amp;$B$11&amp;"'!"&amp;"$A:$A"),AO$1)/1000</f>
        <v>0</v>
      </c>
      <c r="AP35" s="199">
        <f ca="1">SUMIFS(INDIRECT("'"&amp;$A35&amp;$B$11&amp;"'!"&amp;"$y:$y"),INDIRECT("'"&amp;$A35&amp;$B$11&amp;"'!"&amp;"$A:$A"),AP$1)/1000</f>
        <v>0</v>
      </c>
      <c r="AQ35" s="199">
        <f ca="1">SUMIFS(INDIRECT("'"&amp;$A35&amp;$B$11&amp;"'!"&amp;"$y:$y"),INDIRECT("'"&amp;$A35&amp;$B$11&amp;"'!"&amp;"$A:$A"),AQ$1)/1000</f>
        <v>0</v>
      </c>
      <c r="AR35" s="199">
        <f ca="1">SUMIFS(INDIRECT("'"&amp;$A35&amp;$B$11&amp;"'!"&amp;"$y:$y"),INDIRECT("'"&amp;$A35&amp;$B$11&amp;"'!"&amp;"$A:$A"),AR$1)/1000</f>
        <v>0</v>
      </c>
      <c r="AS35" s="199">
        <f ca="1">SUMIFS(INDIRECT("'"&amp;$A35&amp;$B$11&amp;"'!"&amp;"$y:$y"),INDIRECT("'"&amp;$A35&amp;$B$11&amp;"'!"&amp;"$A:$A"),AS$1)/1000</f>
        <v>0</v>
      </c>
      <c r="AT35" s="199">
        <f ca="1">SUMIFS(INDIRECT("'"&amp;$A35&amp;$B$11&amp;"'!"&amp;"$y:$y"),INDIRECT("'"&amp;$A35&amp;$B$11&amp;"'!"&amp;"$A:$A"),AT$1)/1000</f>
        <v>0</v>
      </c>
      <c r="AU35" s="199">
        <f ca="1">SUMIFS(INDIRECT("'"&amp;$A35&amp;$B$11&amp;"'!"&amp;"$y:$y"),INDIRECT("'"&amp;$A35&amp;$B$11&amp;"'!"&amp;"$A:$A"),AU$1)/1000</f>
        <v>0</v>
      </c>
      <c r="AV35" s="199">
        <f ca="1">SUMIFS(INDIRECT("'"&amp;$A35&amp;$B$11&amp;"'!"&amp;"$y:$y"),INDIRECT("'"&amp;$A35&amp;$B$11&amp;"'!"&amp;"$A:$A"),AV$1)/1000</f>
        <v>0</v>
      </c>
      <c r="AW35" s="199">
        <f ca="1">SUMIFS(INDIRECT("'"&amp;$A35&amp;$B$11&amp;"'!"&amp;"$y:$y"),INDIRECT("'"&amp;$A35&amp;$B$11&amp;"'!"&amp;"$A:$A"),AW$1)/1000</f>
        <v>93.1</v>
      </c>
      <c r="AX35" s="199">
        <f ca="1">SUMIFS(INDIRECT("'"&amp;$A35&amp;$B$11&amp;"'!"&amp;"$y:$y"),INDIRECT("'"&amp;$A35&amp;$B$11&amp;"'!"&amp;"$A:$A"),AX$1)/1000</f>
        <v>0</v>
      </c>
      <c r="AY35" s="199">
        <f ca="1">SUMIFS(INDIRECT("'"&amp;$A35&amp;$B$11&amp;"'!"&amp;"$y:$y"),INDIRECT("'"&amp;$A35&amp;$B$11&amp;"'!"&amp;"$A:$A"),AY$1)/1000</f>
        <v>0</v>
      </c>
      <c r="AZ35" s="199">
        <f ca="1">SUMIFS(INDIRECT("'"&amp;$A35&amp;$B$11&amp;"'!"&amp;"$y:$y"),INDIRECT("'"&amp;$A35&amp;$B$11&amp;"'!"&amp;"$A:$A"),AZ$1)/1000</f>
        <v>0</v>
      </c>
      <c r="BA35" s="199">
        <f ca="1">SUMIFS(INDIRECT("'"&amp;$A35&amp;$B$11&amp;"'!"&amp;"$y:$y"),INDIRECT("'"&amp;$A35&amp;$B$11&amp;"'!"&amp;"$A:$A"),BA$1)/1000</f>
        <v>0</v>
      </c>
      <c r="BB35" s="199">
        <f ca="1">SUMIFS(INDIRECT("'"&amp;$A35&amp;$B$11&amp;"'!"&amp;"$y:$y"),INDIRECT("'"&amp;$A35&amp;$B$11&amp;"'!"&amp;"$A:$A"),BB$1)/1000</f>
        <v>0</v>
      </c>
      <c r="BC35" s="199">
        <f ca="1">SUMIFS(INDIRECT("'"&amp;$A35&amp;$B$11&amp;"'!"&amp;"$y:$y"),INDIRECT("'"&amp;$A35&amp;$B$11&amp;"'!"&amp;"$A:$A"),BC$1)/1000</f>
        <v>0</v>
      </c>
      <c r="BD35" s="199">
        <f ca="1">SUMIFS(INDIRECT("'"&amp;$A35&amp;$B$11&amp;"'!"&amp;"$y:$y"),INDIRECT("'"&amp;$A35&amp;$B$11&amp;"'!"&amp;"$A:$A"),BD$1)/1000</f>
        <v>0</v>
      </c>
      <c r="BE35" s="199">
        <f ca="1">SUMIFS(INDIRECT("'"&amp;$A35&amp;$B$11&amp;"'!"&amp;"$y:$y"),INDIRECT("'"&amp;$A35&amp;$B$11&amp;"'!"&amp;"$A:$A"),BE$1)/1000</f>
        <v>0</v>
      </c>
      <c r="BF35" s="199">
        <f ca="1">SUMIFS(INDIRECT("'"&amp;$A35&amp;$B$11&amp;"'!"&amp;"$y:$y"),INDIRECT("'"&amp;$A35&amp;$B$11&amp;"'!"&amp;"$A:$A"),BF$1)/1000</f>
        <v>0</v>
      </c>
      <c r="BG35" s="199">
        <f ca="1">SUMIFS(INDIRECT("'"&amp;$A35&amp;$B$11&amp;"'!"&amp;"$y:$y"),INDIRECT("'"&amp;$A35&amp;$B$11&amp;"'!"&amp;"$A:$A"),BG$1)/1000</f>
        <v>0</v>
      </c>
      <c r="BH35" s="199">
        <f ca="1">SUMIFS(INDIRECT("'"&amp;$A35&amp;$B$11&amp;"'!"&amp;"$y:$y"),INDIRECT("'"&amp;$A35&amp;$B$11&amp;"'!"&amp;"$A:$A"),BH$1)/1000</f>
        <v>0</v>
      </c>
      <c r="BI35" s="199">
        <f ca="1">SUMIFS(INDIRECT("'"&amp;$A35&amp;$B$11&amp;"'!"&amp;"$y:$y"),INDIRECT("'"&amp;$A35&amp;$B$11&amp;"'!"&amp;"$A:$A"),BI$1)/1000</f>
        <v>0</v>
      </c>
      <c r="BJ35" s="199">
        <f ca="1">SUMIFS(INDIRECT("'"&amp;$A35&amp;$B$11&amp;"'!"&amp;"$y:$y"),INDIRECT("'"&amp;$A35&amp;$B$11&amp;"'!"&amp;"$A:$A"),BJ$1)/1000</f>
        <v>0</v>
      </c>
      <c r="BK35" s="199">
        <f ca="1">SUMIFS(INDIRECT("'"&amp;$A35&amp;$B$11&amp;"'!"&amp;"$y:$y"),INDIRECT("'"&amp;$A35&amp;$B$11&amp;"'!"&amp;"$A:$A"),BK$1)/1000</f>
        <v>0</v>
      </c>
      <c r="BL35" s="199">
        <f ca="1">SUMIFS(INDIRECT("'"&amp;$A35&amp;$B$11&amp;"'!"&amp;"$y:$y"),INDIRECT("'"&amp;$A35&amp;$B$11&amp;"'!"&amp;"$A:$A"),BL$1)/1000</f>
        <v>0</v>
      </c>
      <c r="BM35" s="199">
        <f ca="1">SUMIFS(INDIRECT("'"&amp;$A35&amp;$B$11&amp;"'!"&amp;"$y:$y"),INDIRECT("'"&amp;$A35&amp;$B$11&amp;"'!"&amp;"$A:$A"),BM$1)/1000</f>
        <v>0</v>
      </c>
      <c r="BN35" s="199">
        <f ca="1">SUMIFS(INDIRECT("'"&amp;$A35&amp;$B$11&amp;"'!"&amp;"$y:$y"),INDIRECT("'"&amp;$A35&amp;$B$11&amp;"'!"&amp;"$A:$A"),BN$1)/1000</f>
        <v>0</v>
      </c>
      <c r="BO35" s="199">
        <f ca="1">SUMIFS(INDIRECT("'"&amp;$A35&amp;$B$11&amp;"'!"&amp;"$y:$y"),INDIRECT("'"&amp;$A35&amp;$B$11&amp;"'!"&amp;"$A:$A"),BO$1)/1000</f>
        <v>0</v>
      </c>
      <c r="BP35" s="199">
        <f ca="1">SUMIFS(INDIRECT("'"&amp;$A35&amp;$B$11&amp;"'!"&amp;"$y:$y"),INDIRECT("'"&amp;$A35&amp;$B$11&amp;"'!"&amp;"$A:$A"),BP$1)/1000</f>
        <v>0</v>
      </c>
      <c r="BQ35" s="199">
        <f ca="1">SUMIFS(INDIRECT("'"&amp;$A35&amp;$B$11&amp;"'!"&amp;"$y:$y"),INDIRECT("'"&amp;$A35&amp;$B$11&amp;"'!"&amp;"$A:$A"),BQ$1)/1000</f>
        <v>0</v>
      </c>
      <c r="BR35" s="199">
        <f ca="1">SUMIFS(INDIRECT("'"&amp;$A35&amp;$B$11&amp;"'!"&amp;"$y:$y"),INDIRECT("'"&amp;$A35&amp;$B$11&amp;"'!"&amp;"$A:$A"),BR$1)/1000</f>
        <v>0</v>
      </c>
      <c r="BS35" s="199">
        <f ca="1">SUMIFS(INDIRECT("'"&amp;$A35&amp;$B$11&amp;"'!"&amp;"$y:$y"),INDIRECT("'"&amp;$A35&amp;$B$11&amp;"'!"&amp;"$A:$A"),BS$1)/1000</f>
        <v>0</v>
      </c>
      <c r="BT35" s="199">
        <f ca="1">SUMIFS(INDIRECT("'"&amp;$A35&amp;$B$11&amp;"'!"&amp;"$y:$y"),INDIRECT("'"&amp;$A35&amp;$B$11&amp;"'!"&amp;"$A:$A"),BT$1)/1000</f>
        <v>0</v>
      </c>
      <c r="BU35" s="199">
        <f ca="1">SUMIFS(INDIRECT("'"&amp;$A35&amp;$B$11&amp;"'!"&amp;"$y:$y"),INDIRECT("'"&amp;$A35&amp;$B$11&amp;"'!"&amp;"$A:$A"),BU$1)/1000</f>
        <v>0</v>
      </c>
      <c r="BV35" s="199">
        <f ca="1">SUMIFS(INDIRECT("'"&amp;$A35&amp;$B$11&amp;"'!"&amp;"$y:$y"),INDIRECT("'"&amp;$A35&amp;$B$11&amp;"'!"&amp;"$A:$A"),BV$1)/1000</f>
        <v>0</v>
      </c>
      <c r="BW35" s="199">
        <f ca="1">SUMIFS(INDIRECT("'"&amp;$A35&amp;$B$11&amp;"'!"&amp;"$y:$y"),INDIRECT("'"&amp;$A35&amp;$B$11&amp;"'!"&amp;"$A:$A"),BW$1)/1000</f>
        <v>0</v>
      </c>
    </row>
    <row r="36" spans="1:75" x14ac:dyDescent="0.3">
      <c r="A36" s="5" t="s">
        <v>68</v>
      </c>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2"/>
      <c r="AG36" s="199">
        <f ca="1">SUMIFS(INDIRECT("'"&amp;$A36&amp;$B$11&amp;"'!"&amp;"$y:$y"),INDIRECT("'"&amp;$A36&amp;$B$11&amp;"'!"&amp;"$A:$A"),AG$1)/1000</f>
        <v>11.7</v>
      </c>
      <c r="AH36" s="199">
        <f ca="1">SUMIFS(INDIRECT("'"&amp;$A36&amp;$B$11&amp;"'!"&amp;"$y:$y"),INDIRECT("'"&amp;$A36&amp;$B$11&amp;"'!"&amp;"$A:$A"),AH$1)/1000</f>
        <v>11.7</v>
      </c>
      <c r="AI36" s="199">
        <f ca="1">SUMIFS(INDIRECT("'"&amp;$A36&amp;$B$11&amp;"'!"&amp;"$y:$y"),INDIRECT("'"&amp;$A36&amp;$B$11&amp;"'!"&amp;"$A:$A"),AI$1)/1000</f>
        <v>23.4</v>
      </c>
      <c r="AJ36" s="199">
        <f ca="1">SUMIFS(INDIRECT("'"&amp;$A36&amp;$B$11&amp;"'!"&amp;"$y:$y"),INDIRECT("'"&amp;$A36&amp;$B$11&amp;"'!"&amp;"$A:$A"),AJ$1)/1000</f>
        <v>0</v>
      </c>
      <c r="AK36" s="199">
        <f ca="1">SUMIFS(INDIRECT("'"&amp;$A36&amp;$B$11&amp;"'!"&amp;"$y:$y"),INDIRECT("'"&amp;$A36&amp;$B$11&amp;"'!"&amp;"$A:$A"),AK$1)/1000</f>
        <v>11.7</v>
      </c>
      <c r="AL36" s="199">
        <f ca="1">SUMIFS(INDIRECT("'"&amp;$A36&amp;$B$11&amp;"'!"&amp;"$y:$y"),INDIRECT("'"&amp;$A36&amp;$B$11&amp;"'!"&amp;"$A:$A"),AL$1)/1000</f>
        <v>11.7</v>
      </c>
      <c r="AM36" s="199">
        <f ca="1">SUMIFS(INDIRECT("'"&amp;$A36&amp;$B$11&amp;"'!"&amp;"$y:$y"),INDIRECT("'"&amp;$A36&amp;$B$11&amp;"'!"&amp;"$A:$A"),AM$1)/1000</f>
        <v>0</v>
      </c>
      <c r="AN36" s="199">
        <f ca="1">SUMIFS(INDIRECT("'"&amp;$A36&amp;$B$11&amp;"'!"&amp;"$y:$y"),INDIRECT("'"&amp;$A36&amp;$B$11&amp;"'!"&amp;"$A:$A"),AN$1)/1000</f>
        <v>0</v>
      </c>
      <c r="AO36" s="199">
        <f ca="1">SUMIFS(INDIRECT("'"&amp;$A36&amp;$B$11&amp;"'!"&amp;"$y:$y"),INDIRECT("'"&amp;$A36&amp;$B$11&amp;"'!"&amp;"$A:$A"),AO$1)/1000</f>
        <v>0</v>
      </c>
      <c r="AP36" s="199">
        <f ca="1">SUMIFS(INDIRECT("'"&amp;$A36&amp;$B$11&amp;"'!"&amp;"$y:$y"),INDIRECT("'"&amp;$A36&amp;$B$11&amp;"'!"&amp;"$A:$A"),AP$1)/1000</f>
        <v>0</v>
      </c>
      <c r="AQ36" s="199">
        <f ca="1">SUMIFS(INDIRECT("'"&amp;$A36&amp;$B$11&amp;"'!"&amp;"$y:$y"),INDIRECT("'"&amp;$A36&amp;$B$11&amp;"'!"&amp;"$A:$A"),AQ$1)/1000</f>
        <v>0</v>
      </c>
      <c r="AR36" s="199">
        <f ca="1">SUMIFS(INDIRECT("'"&amp;$A36&amp;$B$11&amp;"'!"&amp;"$y:$y"),INDIRECT("'"&amp;$A36&amp;$B$11&amp;"'!"&amp;"$A:$A"),AR$1)/1000</f>
        <v>0</v>
      </c>
      <c r="AS36" s="199">
        <f ca="1">SUMIFS(INDIRECT("'"&amp;$A36&amp;$B$11&amp;"'!"&amp;"$y:$y"),INDIRECT("'"&amp;$A36&amp;$B$11&amp;"'!"&amp;"$A:$A"),AS$1)/1000</f>
        <v>0</v>
      </c>
      <c r="AT36" s="199">
        <f ca="1">SUMIFS(INDIRECT("'"&amp;$A36&amp;$B$11&amp;"'!"&amp;"$y:$y"),INDIRECT("'"&amp;$A36&amp;$B$11&amp;"'!"&amp;"$A:$A"),AT$1)/1000</f>
        <v>0</v>
      </c>
      <c r="AU36" s="199">
        <f ca="1">SUMIFS(INDIRECT("'"&amp;$A36&amp;$B$11&amp;"'!"&amp;"$y:$y"),INDIRECT("'"&amp;$A36&amp;$B$11&amp;"'!"&amp;"$A:$A"),AU$1)/1000</f>
        <v>0</v>
      </c>
      <c r="AV36" s="199">
        <f ca="1">SUMIFS(INDIRECT("'"&amp;$A36&amp;$B$11&amp;"'!"&amp;"$y:$y"),INDIRECT("'"&amp;$A36&amp;$B$11&amp;"'!"&amp;"$A:$A"),AV$1)/1000</f>
        <v>0</v>
      </c>
      <c r="AW36" s="199">
        <f ca="1">SUMIFS(INDIRECT("'"&amp;$A36&amp;$B$11&amp;"'!"&amp;"$y:$y"),INDIRECT("'"&amp;$A36&amp;$B$11&amp;"'!"&amp;"$A:$A"),AW$1)/1000</f>
        <v>0</v>
      </c>
      <c r="AX36" s="199">
        <f ca="1">SUMIFS(INDIRECT("'"&amp;$A36&amp;$B$11&amp;"'!"&amp;"$y:$y"),INDIRECT("'"&amp;$A36&amp;$B$11&amp;"'!"&amp;"$A:$A"),AX$1)/1000</f>
        <v>0</v>
      </c>
      <c r="AY36" s="199">
        <f ca="1">SUMIFS(INDIRECT("'"&amp;$A36&amp;$B$11&amp;"'!"&amp;"$y:$y"),INDIRECT("'"&amp;$A36&amp;$B$11&amp;"'!"&amp;"$A:$A"),AY$1)/1000</f>
        <v>0</v>
      </c>
      <c r="AZ36" s="199">
        <f ca="1">SUMIFS(INDIRECT("'"&amp;$A36&amp;$B$11&amp;"'!"&amp;"$y:$y"),INDIRECT("'"&amp;$A36&amp;$B$11&amp;"'!"&amp;"$A:$A"),AZ$1)/1000</f>
        <v>0</v>
      </c>
      <c r="BA36" s="199">
        <f ca="1">SUMIFS(INDIRECT("'"&amp;$A36&amp;$B$11&amp;"'!"&amp;"$y:$y"),INDIRECT("'"&amp;$A36&amp;$B$11&amp;"'!"&amp;"$A:$A"),BA$1)/1000</f>
        <v>0</v>
      </c>
      <c r="BB36" s="199">
        <f ca="1">SUMIFS(INDIRECT("'"&amp;$A36&amp;$B$11&amp;"'!"&amp;"$y:$y"),INDIRECT("'"&amp;$A36&amp;$B$11&amp;"'!"&amp;"$A:$A"),BB$1)/1000</f>
        <v>0</v>
      </c>
      <c r="BC36" s="199">
        <f ca="1">SUMIFS(INDIRECT("'"&amp;$A36&amp;$B$11&amp;"'!"&amp;"$y:$y"),INDIRECT("'"&amp;$A36&amp;$B$11&amp;"'!"&amp;"$A:$A"),BC$1)/1000</f>
        <v>0</v>
      </c>
      <c r="BD36" s="199">
        <f ca="1">SUMIFS(INDIRECT("'"&amp;$A36&amp;$B$11&amp;"'!"&amp;"$y:$y"),INDIRECT("'"&amp;$A36&amp;$B$11&amp;"'!"&amp;"$A:$A"),BD$1)/1000</f>
        <v>0</v>
      </c>
      <c r="BE36" s="199">
        <f ca="1">SUMIFS(INDIRECT("'"&amp;$A36&amp;$B$11&amp;"'!"&amp;"$y:$y"),INDIRECT("'"&amp;$A36&amp;$B$11&amp;"'!"&amp;"$A:$A"),BE$1)/1000</f>
        <v>0</v>
      </c>
      <c r="BF36" s="199">
        <f ca="1">SUMIFS(INDIRECT("'"&amp;$A36&amp;$B$11&amp;"'!"&amp;"$y:$y"),INDIRECT("'"&amp;$A36&amp;$B$11&amp;"'!"&amp;"$A:$A"),BF$1)/1000</f>
        <v>0</v>
      </c>
      <c r="BG36" s="199">
        <f ca="1">SUMIFS(INDIRECT("'"&amp;$A36&amp;$B$11&amp;"'!"&amp;"$y:$y"),INDIRECT("'"&amp;$A36&amp;$B$11&amp;"'!"&amp;"$A:$A"),BG$1)/1000</f>
        <v>0</v>
      </c>
      <c r="BH36" s="199">
        <f ca="1">SUMIFS(INDIRECT("'"&amp;$A36&amp;$B$11&amp;"'!"&amp;"$y:$y"),INDIRECT("'"&amp;$A36&amp;$B$11&amp;"'!"&amp;"$A:$A"),BH$1)/1000</f>
        <v>0</v>
      </c>
      <c r="BI36" s="199">
        <f ca="1">SUMIFS(INDIRECT("'"&amp;$A36&amp;$B$11&amp;"'!"&amp;"$y:$y"),INDIRECT("'"&amp;$A36&amp;$B$11&amp;"'!"&amp;"$A:$A"),BI$1)/1000</f>
        <v>0</v>
      </c>
      <c r="BJ36" s="199">
        <f ca="1">SUMIFS(INDIRECT("'"&amp;$A36&amp;$B$11&amp;"'!"&amp;"$y:$y"),INDIRECT("'"&amp;$A36&amp;$B$11&amp;"'!"&amp;"$A:$A"),BJ$1)/1000</f>
        <v>691.15499999999997</v>
      </c>
      <c r="BK36" s="199">
        <f ca="1">SUMIFS(INDIRECT("'"&amp;$A36&amp;$B$11&amp;"'!"&amp;"$y:$y"),INDIRECT("'"&amp;$A36&amp;$B$11&amp;"'!"&amp;"$A:$A"),BK$1)/1000</f>
        <v>0</v>
      </c>
      <c r="BL36" s="199">
        <f ca="1">SUMIFS(INDIRECT("'"&amp;$A36&amp;$B$11&amp;"'!"&amp;"$y:$y"),INDIRECT("'"&amp;$A36&amp;$B$11&amp;"'!"&amp;"$A:$A"),BL$1)/1000</f>
        <v>0</v>
      </c>
      <c r="BM36" s="199">
        <f ca="1">SUMIFS(INDIRECT("'"&amp;$A36&amp;$B$11&amp;"'!"&amp;"$y:$y"),INDIRECT("'"&amp;$A36&amp;$B$11&amp;"'!"&amp;"$A:$A"),BM$1)/1000</f>
        <v>0</v>
      </c>
      <c r="BN36" s="199">
        <f ca="1">SUMIFS(INDIRECT("'"&amp;$A36&amp;$B$11&amp;"'!"&amp;"$y:$y"),INDIRECT("'"&amp;$A36&amp;$B$11&amp;"'!"&amp;"$A:$A"),BN$1)/1000</f>
        <v>0</v>
      </c>
      <c r="BO36" s="199">
        <f ca="1">SUMIFS(INDIRECT("'"&amp;$A36&amp;$B$11&amp;"'!"&amp;"$y:$y"),INDIRECT("'"&amp;$A36&amp;$B$11&amp;"'!"&amp;"$A:$A"),BO$1)/1000</f>
        <v>0</v>
      </c>
      <c r="BP36" s="199">
        <f ca="1">SUMIFS(INDIRECT("'"&amp;$A36&amp;$B$11&amp;"'!"&amp;"$y:$y"),INDIRECT("'"&amp;$A36&amp;$B$11&amp;"'!"&amp;"$A:$A"),BP$1)/1000</f>
        <v>0</v>
      </c>
      <c r="BQ36" s="199">
        <f ca="1">SUMIFS(INDIRECT("'"&amp;$A36&amp;$B$11&amp;"'!"&amp;"$y:$y"),INDIRECT("'"&amp;$A36&amp;$B$11&amp;"'!"&amp;"$A:$A"),BQ$1)/1000</f>
        <v>0</v>
      </c>
      <c r="BR36" s="199">
        <f ca="1">SUMIFS(INDIRECT("'"&amp;$A36&amp;$B$11&amp;"'!"&amp;"$y:$y"),INDIRECT("'"&amp;$A36&amp;$B$11&amp;"'!"&amp;"$A:$A"),BR$1)/1000</f>
        <v>0</v>
      </c>
      <c r="BS36" s="199">
        <f ca="1">SUMIFS(INDIRECT("'"&amp;$A36&amp;$B$11&amp;"'!"&amp;"$y:$y"),INDIRECT("'"&amp;$A36&amp;$B$11&amp;"'!"&amp;"$A:$A"),BS$1)/1000</f>
        <v>0</v>
      </c>
      <c r="BT36" s="199">
        <f ca="1">SUMIFS(INDIRECT("'"&amp;$A36&amp;$B$11&amp;"'!"&amp;"$y:$y"),INDIRECT("'"&amp;$A36&amp;$B$11&amp;"'!"&amp;"$A:$A"),BT$1)/1000</f>
        <v>0</v>
      </c>
      <c r="BU36" s="199">
        <f ca="1">SUMIFS(INDIRECT("'"&amp;$A36&amp;$B$11&amp;"'!"&amp;"$y:$y"),INDIRECT("'"&amp;$A36&amp;$B$11&amp;"'!"&amp;"$A:$A"),BU$1)/1000</f>
        <v>0</v>
      </c>
      <c r="BV36" s="199">
        <f ca="1">SUMIFS(INDIRECT("'"&amp;$A36&amp;$B$11&amp;"'!"&amp;"$y:$y"),INDIRECT("'"&amp;$A36&amp;$B$11&amp;"'!"&amp;"$A:$A"),BV$1)/1000</f>
        <v>0</v>
      </c>
      <c r="BW36" s="199">
        <f ca="1">SUMIFS(INDIRECT("'"&amp;$A36&amp;$B$11&amp;"'!"&amp;"$y:$y"),INDIRECT("'"&amp;$A36&amp;$B$11&amp;"'!"&amp;"$A:$A"),BW$1)/1000</f>
        <v>0</v>
      </c>
    </row>
    <row r="37" spans="1:75" x14ac:dyDescent="0.3">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2"/>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row>
    <row r="38" spans="1:75" x14ac:dyDescent="0.3">
      <c r="A38" s="4" t="s">
        <v>13</v>
      </c>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2"/>
      <c r="AG38" s="48">
        <f t="shared" ref="AG38:BL38" ca="1" si="17">SUM(AG39:AG42)</f>
        <v>11.7</v>
      </c>
      <c r="AH38" s="48">
        <f t="shared" ca="1" si="17"/>
        <v>11.933999999999999</v>
      </c>
      <c r="AI38" s="48">
        <f t="shared" ca="1" si="17"/>
        <v>24.345359999999999</v>
      </c>
      <c r="AJ38" s="48">
        <f t="shared" ca="1" si="17"/>
        <v>0</v>
      </c>
      <c r="AK38" s="48">
        <f t="shared" ca="1" si="17"/>
        <v>12.664456271999999</v>
      </c>
      <c r="AL38" s="48">
        <f t="shared" ca="1" si="17"/>
        <v>12.917745397439999</v>
      </c>
      <c r="AM38" s="48">
        <f t="shared" ca="1" si="17"/>
        <v>0</v>
      </c>
      <c r="AN38" s="48">
        <f t="shared" ca="1" si="17"/>
        <v>0</v>
      </c>
      <c r="AO38" s="48">
        <f t="shared" ca="1" si="17"/>
        <v>0</v>
      </c>
      <c r="AP38" s="48">
        <f t="shared" ca="1" si="17"/>
        <v>0</v>
      </c>
      <c r="AQ38" s="48">
        <f t="shared" ca="1" si="17"/>
        <v>0</v>
      </c>
      <c r="AR38" s="48">
        <f t="shared" ca="1" si="17"/>
        <v>0</v>
      </c>
      <c r="AS38" s="48">
        <f t="shared" ca="1" si="17"/>
        <v>0</v>
      </c>
      <c r="AT38" s="48">
        <f t="shared" ca="1" si="17"/>
        <v>0</v>
      </c>
      <c r="AU38" s="48">
        <f t="shared" ca="1" si="17"/>
        <v>0</v>
      </c>
      <c r="AV38" s="48">
        <f t="shared" ca="1" si="17"/>
        <v>0</v>
      </c>
      <c r="AW38" s="48">
        <f t="shared" ca="1" si="17"/>
        <v>127.80634914393602</v>
      </c>
      <c r="AX38" s="48">
        <f t="shared" ca="1" si="17"/>
        <v>0</v>
      </c>
      <c r="AY38" s="48">
        <f t="shared" ca="1" si="17"/>
        <v>0</v>
      </c>
      <c r="AZ38" s="48">
        <f t="shared" ca="1" si="17"/>
        <v>0</v>
      </c>
      <c r="BA38" s="48">
        <f t="shared" ca="1" si="17"/>
        <v>0</v>
      </c>
      <c r="BB38" s="48">
        <f t="shared" ca="1" si="17"/>
        <v>0</v>
      </c>
      <c r="BC38" s="48">
        <f t="shared" ca="1" si="17"/>
        <v>0</v>
      </c>
      <c r="BD38" s="48">
        <f t="shared" ca="1" si="17"/>
        <v>0</v>
      </c>
      <c r="BE38" s="48">
        <f t="shared" ca="1" si="17"/>
        <v>0</v>
      </c>
      <c r="BF38" s="48">
        <f t="shared" ca="1" si="17"/>
        <v>0</v>
      </c>
      <c r="BG38" s="48">
        <f t="shared" ca="1" si="17"/>
        <v>0</v>
      </c>
      <c r="BH38" s="48">
        <f t="shared" ca="1" si="17"/>
        <v>0</v>
      </c>
      <c r="BI38" s="48">
        <f t="shared" ca="1" si="17"/>
        <v>0</v>
      </c>
      <c r="BJ38" s="48">
        <f t="shared" ca="1" si="17"/>
        <v>1670.0061226003716</v>
      </c>
      <c r="BK38" s="48">
        <f t="shared" ca="1" si="17"/>
        <v>0</v>
      </c>
      <c r="BL38" s="48">
        <f t="shared" ca="1" si="17"/>
        <v>0</v>
      </c>
      <c r="BM38" s="48">
        <f t="shared" ref="BM38:BW38" ca="1" si="18">SUM(BM39:BM42)</f>
        <v>0</v>
      </c>
      <c r="BN38" s="48">
        <f t="shared" ca="1" si="18"/>
        <v>0</v>
      </c>
      <c r="BO38" s="48">
        <f t="shared" ca="1" si="18"/>
        <v>0</v>
      </c>
      <c r="BP38" s="48">
        <f t="shared" ca="1" si="18"/>
        <v>0</v>
      </c>
      <c r="BQ38" s="48">
        <f t="shared" ca="1" si="18"/>
        <v>0</v>
      </c>
      <c r="BR38" s="48">
        <f t="shared" ca="1" si="18"/>
        <v>0</v>
      </c>
      <c r="BS38" s="48">
        <f t="shared" ca="1" si="18"/>
        <v>0</v>
      </c>
      <c r="BT38" s="48">
        <f t="shared" ca="1" si="18"/>
        <v>0</v>
      </c>
      <c r="BU38" s="48">
        <f t="shared" ca="1" si="18"/>
        <v>0</v>
      </c>
      <c r="BV38" s="48">
        <f t="shared" ca="1" si="18"/>
        <v>0</v>
      </c>
      <c r="BW38" s="48">
        <f t="shared" ca="1" si="18"/>
        <v>0</v>
      </c>
    </row>
    <row r="39" spans="1:75" x14ac:dyDescent="0.3">
      <c r="A39" s="5" t="s">
        <v>66</v>
      </c>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2"/>
      <c r="AG39" s="51">
        <f t="shared" ref="AG39:BW39" ca="1" si="19">AG33*AG$14</f>
        <v>0</v>
      </c>
      <c r="AH39" s="51">
        <f t="shared" ca="1" si="19"/>
        <v>0</v>
      </c>
      <c r="AI39" s="51">
        <f t="shared" ca="1" si="19"/>
        <v>0</v>
      </c>
      <c r="AJ39" s="51">
        <f t="shared" ca="1" si="19"/>
        <v>0</v>
      </c>
      <c r="AK39" s="51">
        <f t="shared" ca="1" si="19"/>
        <v>0</v>
      </c>
      <c r="AL39" s="51">
        <f t="shared" ca="1" si="19"/>
        <v>0</v>
      </c>
      <c r="AM39" s="51">
        <f t="shared" ca="1" si="19"/>
        <v>0</v>
      </c>
      <c r="AN39" s="51">
        <f t="shared" ca="1" si="19"/>
        <v>0</v>
      </c>
      <c r="AO39" s="51">
        <f t="shared" ca="1" si="19"/>
        <v>0</v>
      </c>
      <c r="AP39" s="51">
        <f t="shared" ca="1" si="19"/>
        <v>0</v>
      </c>
      <c r="AQ39" s="51">
        <f t="shared" ca="1" si="19"/>
        <v>0</v>
      </c>
      <c r="AR39" s="51">
        <f t="shared" ca="1" si="19"/>
        <v>0</v>
      </c>
      <c r="AS39" s="51">
        <f t="shared" ca="1" si="19"/>
        <v>0</v>
      </c>
      <c r="AT39" s="51">
        <f t="shared" ca="1" si="19"/>
        <v>0</v>
      </c>
      <c r="AU39" s="51">
        <f t="shared" ca="1" si="19"/>
        <v>0</v>
      </c>
      <c r="AV39" s="51">
        <f t="shared" ca="1" si="19"/>
        <v>0</v>
      </c>
      <c r="AW39" s="51">
        <f t="shared" ca="1" si="19"/>
        <v>0</v>
      </c>
      <c r="AX39" s="51">
        <f t="shared" ca="1" si="19"/>
        <v>0</v>
      </c>
      <c r="AY39" s="51">
        <f t="shared" ca="1" si="19"/>
        <v>0</v>
      </c>
      <c r="AZ39" s="51">
        <f t="shared" ca="1" si="19"/>
        <v>0</v>
      </c>
      <c r="BA39" s="51">
        <f t="shared" ca="1" si="19"/>
        <v>0</v>
      </c>
      <c r="BB39" s="51">
        <f t="shared" ca="1" si="19"/>
        <v>0</v>
      </c>
      <c r="BC39" s="51">
        <f t="shared" ca="1" si="19"/>
        <v>0</v>
      </c>
      <c r="BD39" s="51">
        <f t="shared" ca="1" si="19"/>
        <v>0</v>
      </c>
      <c r="BE39" s="51">
        <f t="shared" ca="1" si="19"/>
        <v>0</v>
      </c>
      <c r="BF39" s="51">
        <f t="shared" ca="1" si="19"/>
        <v>0</v>
      </c>
      <c r="BG39" s="51">
        <f t="shared" ca="1" si="19"/>
        <v>0</v>
      </c>
      <c r="BH39" s="51">
        <f t="shared" ca="1" si="19"/>
        <v>0</v>
      </c>
      <c r="BI39" s="51">
        <f t="shared" ca="1" si="19"/>
        <v>0</v>
      </c>
      <c r="BJ39" s="51">
        <f t="shared" ca="1" si="19"/>
        <v>442.62218567786744</v>
      </c>
      <c r="BK39" s="51">
        <f t="shared" ca="1" si="19"/>
        <v>0</v>
      </c>
      <c r="BL39" s="51">
        <f t="shared" ca="1" si="19"/>
        <v>0</v>
      </c>
      <c r="BM39" s="51">
        <f t="shared" ca="1" si="19"/>
        <v>0</v>
      </c>
      <c r="BN39" s="51">
        <f t="shared" ca="1" si="19"/>
        <v>0</v>
      </c>
      <c r="BO39" s="51">
        <f t="shared" ca="1" si="19"/>
        <v>0</v>
      </c>
      <c r="BP39" s="51">
        <f t="shared" ca="1" si="19"/>
        <v>0</v>
      </c>
      <c r="BQ39" s="51">
        <f t="shared" ca="1" si="19"/>
        <v>0</v>
      </c>
      <c r="BR39" s="51">
        <f t="shared" ca="1" si="19"/>
        <v>0</v>
      </c>
      <c r="BS39" s="51">
        <f t="shared" ca="1" si="19"/>
        <v>0</v>
      </c>
      <c r="BT39" s="51">
        <f t="shared" ca="1" si="19"/>
        <v>0</v>
      </c>
      <c r="BU39" s="51">
        <f t="shared" ca="1" si="19"/>
        <v>0</v>
      </c>
      <c r="BV39" s="51">
        <f t="shared" ca="1" si="19"/>
        <v>0</v>
      </c>
      <c r="BW39" s="51">
        <f t="shared" ca="1" si="19"/>
        <v>0</v>
      </c>
    </row>
    <row r="40" spans="1:75" x14ac:dyDescent="0.3">
      <c r="A40" s="5" t="s">
        <v>67</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2"/>
      <c r="AG40" s="118"/>
      <c r="AH40" s="118"/>
      <c r="AI40" s="118"/>
      <c r="AJ40" s="118"/>
      <c r="AK40" s="118"/>
      <c r="AL40" s="118"/>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8"/>
      <c r="BM40" s="118"/>
      <c r="BN40" s="118"/>
      <c r="BO40" s="118"/>
      <c r="BP40" s="118"/>
      <c r="BQ40" s="118"/>
      <c r="BR40" s="118"/>
      <c r="BS40" s="118"/>
      <c r="BT40" s="118"/>
      <c r="BU40" s="118"/>
      <c r="BV40" s="118"/>
      <c r="BW40" s="118"/>
    </row>
    <row r="41" spans="1:75" x14ac:dyDescent="0.3">
      <c r="A41" s="5" t="s">
        <v>69</v>
      </c>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2"/>
      <c r="AG41" s="51">
        <f t="shared" ref="AG41:BW41" ca="1" si="20">AG35*AG$14</f>
        <v>0</v>
      </c>
      <c r="AH41" s="51">
        <f t="shared" ca="1" si="20"/>
        <v>0</v>
      </c>
      <c r="AI41" s="51">
        <f t="shared" ca="1" si="20"/>
        <v>0</v>
      </c>
      <c r="AJ41" s="51">
        <f t="shared" ca="1" si="20"/>
        <v>0</v>
      </c>
      <c r="AK41" s="51">
        <f t="shared" ca="1" si="20"/>
        <v>0</v>
      </c>
      <c r="AL41" s="51">
        <f t="shared" ca="1" si="20"/>
        <v>0</v>
      </c>
      <c r="AM41" s="51">
        <f t="shared" ca="1" si="20"/>
        <v>0</v>
      </c>
      <c r="AN41" s="51">
        <f t="shared" ca="1" si="20"/>
        <v>0</v>
      </c>
      <c r="AO41" s="51">
        <f t="shared" ca="1" si="20"/>
        <v>0</v>
      </c>
      <c r="AP41" s="51">
        <f t="shared" ca="1" si="20"/>
        <v>0</v>
      </c>
      <c r="AQ41" s="51">
        <f t="shared" ca="1" si="20"/>
        <v>0</v>
      </c>
      <c r="AR41" s="51">
        <f t="shared" ca="1" si="20"/>
        <v>0</v>
      </c>
      <c r="AS41" s="51">
        <f t="shared" ca="1" si="20"/>
        <v>0</v>
      </c>
      <c r="AT41" s="51">
        <f t="shared" ca="1" si="20"/>
        <v>0</v>
      </c>
      <c r="AU41" s="51">
        <f t="shared" ca="1" si="20"/>
        <v>0</v>
      </c>
      <c r="AV41" s="51">
        <f t="shared" ca="1" si="20"/>
        <v>0</v>
      </c>
      <c r="AW41" s="51">
        <f t="shared" ca="1" si="20"/>
        <v>127.80634914393602</v>
      </c>
      <c r="AX41" s="51">
        <f t="shared" ca="1" si="20"/>
        <v>0</v>
      </c>
      <c r="AY41" s="51">
        <f t="shared" ca="1" si="20"/>
        <v>0</v>
      </c>
      <c r="AZ41" s="51">
        <f t="shared" ca="1" si="20"/>
        <v>0</v>
      </c>
      <c r="BA41" s="51">
        <f t="shared" ca="1" si="20"/>
        <v>0</v>
      </c>
      <c r="BB41" s="51">
        <f t="shared" ca="1" si="20"/>
        <v>0</v>
      </c>
      <c r="BC41" s="51">
        <f t="shared" ca="1" si="20"/>
        <v>0</v>
      </c>
      <c r="BD41" s="51">
        <f t="shared" ca="1" si="20"/>
        <v>0</v>
      </c>
      <c r="BE41" s="51">
        <f t="shared" ca="1" si="20"/>
        <v>0</v>
      </c>
      <c r="BF41" s="51">
        <f t="shared" ca="1" si="20"/>
        <v>0</v>
      </c>
      <c r="BG41" s="51">
        <f t="shared" ca="1" si="20"/>
        <v>0</v>
      </c>
      <c r="BH41" s="51">
        <f t="shared" ca="1" si="20"/>
        <v>0</v>
      </c>
      <c r="BI41" s="51">
        <f t="shared" ca="1" si="20"/>
        <v>0</v>
      </c>
      <c r="BJ41" s="51">
        <f t="shared" ca="1" si="20"/>
        <v>0</v>
      </c>
      <c r="BK41" s="51">
        <f t="shared" ca="1" si="20"/>
        <v>0</v>
      </c>
      <c r="BL41" s="51">
        <f t="shared" ca="1" si="20"/>
        <v>0</v>
      </c>
      <c r="BM41" s="51">
        <f t="shared" ca="1" si="20"/>
        <v>0</v>
      </c>
      <c r="BN41" s="51">
        <f t="shared" ca="1" si="20"/>
        <v>0</v>
      </c>
      <c r="BO41" s="51">
        <f t="shared" ca="1" si="20"/>
        <v>0</v>
      </c>
      <c r="BP41" s="51">
        <f t="shared" ca="1" si="20"/>
        <v>0</v>
      </c>
      <c r="BQ41" s="51">
        <f t="shared" ca="1" si="20"/>
        <v>0</v>
      </c>
      <c r="BR41" s="51">
        <f t="shared" ca="1" si="20"/>
        <v>0</v>
      </c>
      <c r="BS41" s="51">
        <f t="shared" ca="1" si="20"/>
        <v>0</v>
      </c>
      <c r="BT41" s="51">
        <f t="shared" ca="1" si="20"/>
        <v>0</v>
      </c>
      <c r="BU41" s="51">
        <f t="shared" ca="1" si="20"/>
        <v>0</v>
      </c>
      <c r="BV41" s="51">
        <f t="shared" ca="1" si="20"/>
        <v>0</v>
      </c>
      <c r="BW41" s="51">
        <f t="shared" ca="1" si="20"/>
        <v>0</v>
      </c>
    </row>
    <row r="42" spans="1:75" x14ac:dyDescent="0.3">
      <c r="A42" s="5" t="s">
        <v>68</v>
      </c>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2"/>
      <c r="AG42" s="51">
        <f t="shared" ref="AG42:BW42" ca="1" si="21">AG36*AG$14</f>
        <v>11.7</v>
      </c>
      <c r="AH42" s="51">
        <f t="shared" ca="1" si="21"/>
        <v>11.933999999999999</v>
      </c>
      <c r="AI42" s="51">
        <f t="shared" ca="1" si="21"/>
        <v>24.345359999999999</v>
      </c>
      <c r="AJ42" s="51">
        <f t="shared" ca="1" si="21"/>
        <v>0</v>
      </c>
      <c r="AK42" s="51">
        <f t="shared" ca="1" si="21"/>
        <v>12.664456271999999</v>
      </c>
      <c r="AL42" s="51">
        <f t="shared" ca="1" si="21"/>
        <v>12.917745397439999</v>
      </c>
      <c r="AM42" s="51">
        <f t="shared" ca="1" si="21"/>
        <v>0</v>
      </c>
      <c r="AN42" s="51">
        <f t="shared" ca="1" si="21"/>
        <v>0</v>
      </c>
      <c r="AO42" s="51">
        <f t="shared" ca="1" si="21"/>
        <v>0</v>
      </c>
      <c r="AP42" s="51">
        <f t="shared" ca="1" si="21"/>
        <v>0</v>
      </c>
      <c r="AQ42" s="51">
        <f t="shared" ca="1" si="21"/>
        <v>0</v>
      </c>
      <c r="AR42" s="51">
        <f t="shared" ca="1" si="21"/>
        <v>0</v>
      </c>
      <c r="AS42" s="51">
        <f t="shared" ca="1" si="21"/>
        <v>0</v>
      </c>
      <c r="AT42" s="51">
        <f t="shared" ca="1" si="21"/>
        <v>0</v>
      </c>
      <c r="AU42" s="51">
        <f t="shared" ca="1" si="21"/>
        <v>0</v>
      </c>
      <c r="AV42" s="51">
        <f t="shared" ca="1" si="21"/>
        <v>0</v>
      </c>
      <c r="AW42" s="51">
        <f t="shared" ca="1" si="21"/>
        <v>0</v>
      </c>
      <c r="AX42" s="51">
        <f t="shared" ca="1" si="21"/>
        <v>0</v>
      </c>
      <c r="AY42" s="51">
        <f t="shared" ca="1" si="21"/>
        <v>0</v>
      </c>
      <c r="AZ42" s="51">
        <f t="shared" ca="1" si="21"/>
        <v>0</v>
      </c>
      <c r="BA42" s="51">
        <f t="shared" ca="1" si="21"/>
        <v>0</v>
      </c>
      <c r="BB42" s="51">
        <f t="shared" ca="1" si="21"/>
        <v>0</v>
      </c>
      <c r="BC42" s="51">
        <f t="shared" ca="1" si="21"/>
        <v>0</v>
      </c>
      <c r="BD42" s="51">
        <f t="shared" ca="1" si="21"/>
        <v>0</v>
      </c>
      <c r="BE42" s="51">
        <f t="shared" ca="1" si="21"/>
        <v>0</v>
      </c>
      <c r="BF42" s="51">
        <f t="shared" ca="1" si="21"/>
        <v>0</v>
      </c>
      <c r="BG42" s="51">
        <f t="shared" ca="1" si="21"/>
        <v>0</v>
      </c>
      <c r="BH42" s="51">
        <f t="shared" ca="1" si="21"/>
        <v>0</v>
      </c>
      <c r="BI42" s="51">
        <f t="shared" ca="1" si="21"/>
        <v>0</v>
      </c>
      <c r="BJ42" s="51">
        <f t="shared" ca="1" si="21"/>
        <v>1227.3839369225041</v>
      </c>
      <c r="BK42" s="51">
        <f t="shared" ca="1" si="21"/>
        <v>0</v>
      </c>
      <c r="BL42" s="51">
        <f t="shared" ca="1" si="21"/>
        <v>0</v>
      </c>
      <c r="BM42" s="51">
        <f t="shared" ca="1" si="21"/>
        <v>0</v>
      </c>
      <c r="BN42" s="51">
        <f t="shared" ca="1" si="21"/>
        <v>0</v>
      </c>
      <c r="BO42" s="51">
        <f t="shared" ca="1" si="21"/>
        <v>0</v>
      </c>
      <c r="BP42" s="51">
        <f t="shared" ca="1" si="21"/>
        <v>0</v>
      </c>
      <c r="BQ42" s="51">
        <f t="shared" ca="1" si="21"/>
        <v>0</v>
      </c>
      <c r="BR42" s="51">
        <f t="shared" ca="1" si="21"/>
        <v>0</v>
      </c>
      <c r="BS42" s="51">
        <f t="shared" ca="1" si="21"/>
        <v>0</v>
      </c>
      <c r="BT42" s="51">
        <f t="shared" ca="1" si="21"/>
        <v>0</v>
      </c>
      <c r="BU42" s="51">
        <f t="shared" ca="1" si="21"/>
        <v>0</v>
      </c>
      <c r="BV42" s="51">
        <f t="shared" ca="1" si="21"/>
        <v>0</v>
      </c>
      <c r="BW42" s="51">
        <f t="shared" ca="1" si="21"/>
        <v>0</v>
      </c>
    </row>
    <row r="43" spans="1:75" x14ac:dyDescent="0.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row>
    <row r="44" spans="1:75" s="204" customFormat="1" x14ac:dyDescent="0.3">
      <c r="A44" s="204" t="s">
        <v>379</v>
      </c>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c r="AE44" s="205"/>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206"/>
      <c r="BF44" s="206"/>
      <c r="BG44" s="206"/>
      <c r="BH44" s="206"/>
      <c r="BI44" s="206"/>
      <c r="BJ44" s="206"/>
      <c r="BK44" s="206"/>
      <c r="BL44" s="206"/>
      <c r="BM44" s="206"/>
      <c r="BN44" s="206"/>
      <c r="BO44" s="206"/>
      <c r="BP44" s="206"/>
      <c r="BQ44" s="206"/>
      <c r="BR44" s="206"/>
      <c r="BS44" s="206"/>
      <c r="BT44" s="206"/>
      <c r="BU44" s="206"/>
      <c r="BV44" s="206"/>
      <c r="BW44" s="206"/>
    </row>
    <row r="45" spans="1:75" x14ac:dyDescent="0.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row>
    <row r="46" spans="1:75" x14ac:dyDescent="0.3">
      <c r="A46" s="4" t="s">
        <v>73</v>
      </c>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2"/>
      <c r="AG46" s="69">
        <f ca="1">SUMPRODUCT(AG$47:AG$50,AG$6:AG$9)/SUM(AG$6:AG$9)</f>
        <v>2.4045763291305072E-2</v>
      </c>
      <c r="AH46" s="69">
        <f t="shared" ref="AH46:BK46" ca="1" si="22">SUMPRODUCT(AH$47:AH$50,AH$6:AH$9)/SUM(AH$6:AH$9)</f>
        <v>2.1047237920456863E-2</v>
      </c>
      <c r="AI46" s="69">
        <f t="shared" ca="1" si="22"/>
        <v>2.9912654761923181E-2</v>
      </c>
      <c r="AJ46" s="69">
        <f t="shared" ca="1" si="22"/>
        <v>4.1292166282425505E-2</v>
      </c>
      <c r="AK46" s="69">
        <f t="shared" ca="1" si="22"/>
        <v>4.5583958965196916E-2</v>
      </c>
      <c r="AL46" s="69">
        <f t="shared" ca="1" si="22"/>
        <v>5.325192391108826E-2</v>
      </c>
      <c r="AM46" s="69">
        <f t="shared" ca="1" si="22"/>
        <v>4.885706072639992E-2</v>
      </c>
      <c r="AN46" s="69">
        <f t="shared" ca="1" si="22"/>
        <v>3.5804474759625685E-2</v>
      </c>
      <c r="AO46" s="69">
        <f t="shared" ca="1" si="22"/>
        <v>2.7879942994209948E-2</v>
      </c>
      <c r="AP46" s="69">
        <f t="shared" ca="1" si="22"/>
        <v>1.8274463614797707E-2</v>
      </c>
      <c r="AQ46" s="69">
        <f t="shared" ca="1" si="22"/>
        <v>1.3641977290119666E-2</v>
      </c>
      <c r="AR46" s="69">
        <f t="shared" ca="1" si="22"/>
        <v>1.000389626138239E-2</v>
      </c>
      <c r="AS46" s="69">
        <f t="shared" ca="1" si="22"/>
        <v>6.5538088452076603E-3</v>
      </c>
      <c r="AT46" s="69">
        <f t="shared" ca="1" si="22"/>
        <v>2.6787868933105721E-3</v>
      </c>
      <c r="AU46" s="69">
        <f t="shared" ca="1" si="22"/>
        <v>0</v>
      </c>
      <c r="AV46" s="69">
        <f t="shared" ca="1" si="22"/>
        <v>0</v>
      </c>
      <c r="AW46" s="69">
        <f t="shared" ca="1" si="22"/>
        <v>0</v>
      </c>
      <c r="AX46" s="69">
        <f t="shared" ca="1" si="22"/>
        <v>0</v>
      </c>
      <c r="AY46" s="69">
        <f t="shared" ca="1" si="22"/>
        <v>0</v>
      </c>
      <c r="AZ46" s="69">
        <f t="shared" ca="1" si="22"/>
        <v>0</v>
      </c>
      <c r="BA46" s="69">
        <f t="shared" ca="1" si="22"/>
        <v>0</v>
      </c>
      <c r="BB46" s="69">
        <f t="shared" ca="1" si="22"/>
        <v>0</v>
      </c>
      <c r="BC46" s="69">
        <f t="shared" ca="1" si="22"/>
        <v>0</v>
      </c>
      <c r="BD46" s="69">
        <f t="shared" ca="1" si="22"/>
        <v>0</v>
      </c>
      <c r="BE46" s="69">
        <f t="shared" ca="1" si="22"/>
        <v>0</v>
      </c>
      <c r="BF46" s="69">
        <f t="shared" ca="1" si="22"/>
        <v>0</v>
      </c>
      <c r="BG46" s="69">
        <f t="shared" ca="1" si="22"/>
        <v>0</v>
      </c>
      <c r="BH46" s="69">
        <f t="shared" ca="1" si="22"/>
        <v>0</v>
      </c>
      <c r="BI46" s="69">
        <f t="shared" ca="1" si="22"/>
        <v>0</v>
      </c>
      <c r="BJ46" s="69" t="e">
        <f t="shared" ca="1" si="22"/>
        <v>#DIV/0!</v>
      </c>
      <c r="BK46" s="69" t="e">
        <f t="shared" ca="1" si="22"/>
        <v>#DIV/0!</v>
      </c>
      <c r="BL46" s="69">
        <f t="shared" ref="BL46:BW46" ca="1" si="23">IFERROR(SUMPRODUCT(BL$47:BL$50,BL$6:BL$9)/SUM(BL$6:BL$9),0)</f>
        <v>0</v>
      </c>
      <c r="BM46" s="69">
        <f t="shared" ca="1" si="23"/>
        <v>0</v>
      </c>
      <c r="BN46" s="69">
        <f t="shared" ca="1" si="23"/>
        <v>0</v>
      </c>
      <c r="BO46" s="69">
        <f t="shared" ca="1" si="23"/>
        <v>0</v>
      </c>
      <c r="BP46" s="69">
        <f t="shared" ca="1" si="23"/>
        <v>0</v>
      </c>
      <c r="BQ46" s="69">
        <f t="shared" ca="1" si="23"/>
        <v>0</v>
      </c>
      <c r="BR46" s="69">
        <f t="shared" ca="1" si="23"/>
        <v>0</v>
      </c>
      <c r="BS46" s="69">
        <f t="shared" ca="1" si="23"/>
        <v>0</v>
      </c>
      <c r="BT46" s="69">
        <f t="shared" ca="1" si="23"/>
        <v>0</v>
      </c>
      <c r="BU46" s="69">
        <f t="shared" ca="1" si="23"/>
        <v>0</v>
      </c>
      <c r="BV46" s="69">
        <f t="shared" ca="1" si="23"/>
        <v>0</v>
      </c>
      <c r="BW46" s="69">
        <f t="shared" ca="1" si="23"/>
        <v>0</v>
      </c>
    </row>
    <row r="47" spans="1:75" x14ac:dyDescent="0.3">
      <c r="A47" s="5" t="s">
        <v>66</v>
      </c>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2"/>
      <c r="AG47" s="202">
        <f t="shared" ref="AG47:BW47" ca="1" si="24">SUMIFS(INDIRECT("'"&amp;$A47&amp;$B$11&amp;"'!"&amp;"$AF:$AF"),INDIRECT("'"&amp;$A47&amp;$B$11&amp;"'!"&amp;"$A:$A"),AG$1)</f>
        <v>3.7631880617072316E-2</v>
      </c>
      <c r="AH47" s="202">
        <f t="shared" ca="1" si="24"/>
        <v>2.0839828169556488E-2</v>
      </c>
      <c r="AI47" s="202">
        <f t="shared" ca="1" si="24"/>
        <v>1.8133904421529838E-2</v>
      </c>
      <c r="AJ47" s="202">
        <f t="shared" ca="1" si="24"/>
        <v>2.3873056386543249E-2</v>
      </c>
      <c r="AK47" s="202">
        <f t="shared" ca="1" si="24"/>
        <v>2.4054382511817865E-2</v>
      </c>
      <c r="AL47" s="202">
        <f t="shared" ca="1" si="24"/>
        <v>1.9376834927549956E-2</v>
      </c>
      <c r="AM47" s="202">
        <f t="shared" ca="1" si="24"/>
        <v>1.004939820648134E-2</v>
      </c>
      <c r="AN47" s="202">
        <f t="shared" ca="1" si="24"/>
        <v>1.5075415048580556E-3</v>
      </c>
      <c r="AO47" s="202">
        <f t="shared" ca="1" si="24"/>
        <v>0</v>
      </c>
      <c r="AP47" s="202">
        <f t="shared" ca="1" si="24"/>
        <v>0</v>
      </c>
      <c r="AQ47" s="202">
        <f t="shared" ca="1" si="24"/>
        <v>0</v>
      </c>
      <c r="AR47" s="202">
        <f t="shared" ca="1" si="24"/>
        <v>0</v>
      </c>
      <c r="AS47" s="202">
        <f t="shared" ca="1" si="24"/>
        <v>0</v>
      </c>
      <c r="AT47" s="202">
        <f t="shared" ca="1" si="24"/>
        <v>0</v>
      </c>
      <c r="AU47" s="202">
        <f t="shared" ca="1" si="24"/>
        <v>0</v>
      </c>
      <c r="AV47" s="202">
        <f t="shared" ca="1" si="24"/>
        <v>0</v>
      </c>
      <c r="AW47" s="202">
        <f t="shared" ca="1" si="24"/>
        <v>0</v>
      </c>
      <c r="AX47" s="202">
        <f t="shared" ca="1" si="24"/>
        <v>0</v>
      </c>
      <c r="AY47" s="202">
        <f t="shared" ca="1" si="24"/>
        <v>0</v>
      </c>
      <c r="AZ47" s="202">
        <f t="shared" ca="1" si="24"/>
        <v>0</v>
      </c>
      <c r="BA47" s="202">
        <f t="shared" ca="1" si="24"/>
        <v>0</v>
      </c>
      <c r="BB47" s="202">
        <f t="shared" ca="1" si="24"/>
        <v>0</v>
      </c>
      <c r="BC47" s="202">
        <f t="shared" ca="1" si="24"/>
        <v>0</v>
      </c>
      <c r="BD47" s="202">
        <f t="shared" ca="1" si="24"/>
        <v>0</v>
      </c>
      <c r="BE47" s="202">
        <f t="shared" ca="1" si="24"/>
        <v>0</v>
      </c>
      <c r="BF47" s="202">
        <f t="shared" ca="1" si="24"/>
        <v>0</v>
      </c>
      <c r="BG47" s="202">
        <f t="shared" ca="1" si="24"/>
        <v>0</v>
      </c>
      <c r="BH47" s="202">
        <f t="shared" ca="1" si="24"/>
        <v>0</v>
      </c>
      <c r="BI47" s="202">
        <f t="shared" ca="1" si="24"/>
        <v>0</v>
      </c>
      <c r="BJ47" s="202">
        <f t="shared" ca="1" si="24"/>
        <v>0</v>
      </c>
      <c r="BK47" s="202">
        <f t="shared" ca="1" si="24"/>
        <v>0</v>
      </c>
      <c r="BL47" s="202">
        <f t="shared" ca="1" si="24"/>
        <v>0</v>
      </c>
      <c r="BM47" s="202">
        <f t="shared" ca="1" si="24"/>
        <v>0</v>
      </c>
      <c r="BN47" s="202">
        <f t="shared" ca="1" si="24"/>
        <v>0</v>
      </c>
      <c r="BO47" s="202">
        <f t="shared" ca="1" si="24"/>
        <v>0</v>
      </c>
      <c r="BP47" s="202">
        <f t="shared" ca="1" si="24"/>
        <v>0</v>
      </c>
      <c r="BQ47" s="202">
        <f t="shared" ca="1" si="24"/>
        <v>0</v>
      </c>
      <c r="BR47" s="202">
        <f t="shared" ca="1" si="24"/>
        <v>0</v>
      </c>
      <c r="BS47" s="202">
        <f t="shared" ca="1" si="24"/>
        <v>0</v>
      </c>
      <c r="BT47" s="202">
        <f t="shared" ca="1" si="24"/>
        <v>0</v>
      </c>
      <c r="BU47" s="202">
        <f t="shared" ca="1" si="24"/>
        <v>0</v>
      </c>
      <c r="BV47" s="202">
        <f t="shared" ca="1" si="24"/>
        <v>0</v>
      </c>
      <c r="BW47" s="202">
        <f t="shared" ca="1" si="24"/>
        <v>0</v>
      </c>
    </row>
    <row r="48" spans="1:75" x14ac:dyDescent="0.3">
      <c r="A48" s="5" t="s">
        <v>67</v>
      </c>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2"/>
      <c r="AG48" s="203"/>
      <c r="AH48" s="203"/>
      <c r="AI48" s="203"/>
      <c r="AJ48" s="203"/>
      <c r="AK48" s="203"/>
      <c r="AL48" s="203"/>
      <c r="AM48" s="203"/>
      <c r="AN48" s="203"/>
      <c r="AO48" s="203"/>
      <c r="AP48" s="203"/>
      <c r="AQ48" s="203"/>
      <c r="AR48" s="203"/>
      <c r="AS48" s="203"/>
      <c r="AT48" s="203"/>
      <c r="AU48" s="203"/>
      <c r="AV48" s="203"/>
      <c r="AW48" s="203"/>
      <c r="AX48" s="203"/>
      <c r="AY48" s="203"/>
      <c r="AZ48" s="203"/>
      <c r="BA48" s="203"/>
      <c r="BB48" s="203"/>
      <c r="BC48" s="203"/>
      <c r="BD48" s="203"/>
      <c r="BE48" s="203"/>
      <c r="BF48" s="203"/>
      <c r="BG48" s="203"/>
      <c r="BH48" s="203"/>
      <c r="BI48" s="203"/>
      <c r="BJ48" s="203"/>
      <c r="BK48" s="203"/>
      <c r="BL48" s="203"/>
      <c r="BM48" s="203"/>
      <c r="BN48" s="203"/>
      <c r="BO48" s="203"/>
      <c r="BP48" s="203"/>
      <c r="BQ48" s="203"/>
      <c r="BR48" s="203"/>
      <c r="BS48" s="203"/>
      <c r="BT48" s="203"/>
      <c r="BU48" s="203"/>
      <c r="BV48" s="203"/>
      <c r="BW48" s="203"/>
    </row>
    <row r="49" spans="1:75" x14ac:dyDescent="0.3">
      <c r="A49" s="5" t="s">
        <v>69</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2"/>
      <c r="AG49" s="202">
        <f ca="1">SUMIFS(INDIRECT("'"&amp;$A49&amp;$B$11&amp;"'!"&amp;"$Ah:$Ah"),INDIRECT("'"&amp;$A49&amp;$B$11&amp;"'!"&amp;"$A:$A"),AG$1)</f>
        <v>0</v>
      </c>
      <c r="AH49" s="202">
        <f ca="1">SUMIFS(INDIRECT("'"&amp;$A49&amp;$B$11&amp;"'!"&amp;"$Ah:$Ah"),INDIRECT("'"&amp;$A49&amp;$B$11&amp;"'!"&amp;"$A:$A"),AH$1)</f>
        <v>0</v>
      </c>
      <c r="AI49" s="202">
        <f ca="1">SUMIFS(INDIRECT("'"&amp;$A49&amp;$B$11&amp;"'!"&amp;"$Ah:$Ah"),INDIRECT("'"&amp;$A49&amp;$B$11&amp;"'!"&amp;"$A:$A"),AI$1)</f>
        <v>0</v>
      </c>
      <c r="AJ49" s="202">
        <f ca="1">SUMIFS(INDIRECT("'"&amp;$A49&amp;$B$11&amp;"'!"&amp;"$Ah:$Ah"),INDIRECT("'"&amp;$A49&amp;$B$11&amp;"'!"&amp;"$A:$A"),AJ$1)</f>
        <v>0</v>
      </c>
      <c r="AK49" s="202">
        <f ca="1">SUMIFS(INDIRECT("'"&amp;$A49&amp;$B$11&amp;"'!"&amp;"$Ah:$Ah"),INDIRECT("'"&amp;$A49&amp;$B$11&amp;"'!"&amp;"$A:$A"),AK$1)</f>
        <v>0</v>
      </c>
      <c r="AL49" s="202">
        <f ca="1">SUMIFS(INDIRECT("'"&amp;$A49&amp;$B$11&amp;"'!"&amp;"$Ah:$Ah"),INDIRECT("'"&amp;$A49&amp;$B$11&amp;"'!"&amp;"$A:$A"),AL$1)</f>
        <v>0</v>
      </c>
      <c r="AM49" s="202">
        <f ca="1">SUMIFS(INDIRECT("'"&amp;$A49&amp;$B$11&amp;"'!"&amp;"$Ah:$Ah"),INDIRECT("'"&amp;$A49&amp;$B$11&amp;"'!"&amp;"$A:$A"),AM$1)</f>
        <v>0</v>
      </c>
      <c r="AN49" s="202">
        <f ca="1">SUMIFS(INDIRECT("'"&amp;$A49&amp;$B$11&amp;"'!"&amp;"$Ah:$Ah"),INDIRECT("'"&amp;$A49&amp;$B$11&amp;"'!"&amp;"$A:$A"),AN$1)</f>
        <v>0</v>
      </c>
      <c r="AO49" s="202">
        <f ca="1">SUMIFS(INDIRECT("'"&amp;$A49&amp;$B$11&amp;"'!"&amp;"$Ah:$Ah"),INDIRECT("'"&amp;$A49&amp;$B$11&amp;"'!"&amp;"$A:$A"),AO$1)</f>
        <v>0</v>
      </c>
      <c r="AP49" s="202">
        <f ca="1">SUMIFS(INDIRECT("'"&amp;$A49&amp;$B$11&amp;"'!"&amp;"$Ah:$Ah"),INDIRECT("'"&amp;$A49&amp;$B$11&amp;"'!"&amp;"$A:$A"),AP$1)</f>
        <v>0</v>
      </c>
      <c r="AQ49" s="202">
        <f ca="1">SUMIFS(INDIRECT("'"&amp;$A49&amp;$B$11&amp;"'!"&amp;"$Ah:$Ah"),INDIRECT("'"&amp;$A49&amp;$B$11&amp;"'!"&amp;"$A:$A"),AQ$1)</f>
        <v>0</v>
      </c>
      <c r="AR49" s="202">
        <f ca="1">SUMIFS(INDIRECT("'"&amp;$A49&amp;$B$11&amp;"'!"&amp;"$Ah:$Ah"),INDIRECT("'"&amp;$A49&amp;$B$11&amp;"'!"&amp;"$A:$A"),AR$1)</f>
        <v>0</v>
      </c>
      <c r="AS49" s="202">
        <f ca="1">SUMIFS(INDIRECT("'"&amp;$A49&amp;$B$11&amp;"'!"&amp;"$Ah:$Ah"),INDIRECT("'"&amp;$A49&amp;$B$11&amp;"'!"&amp;"$A:$A"),AS$1)</f>
        <v>0</v>
      </c>
      <c r="AT49" s="202">
        <f ca="1">SUMIFS(INDIRECT("'"&amp;$A49&amp;$B$11&amp;"'!"&amp;"$Ah:$Ah"),INDIRECT("'"&amp;$A49&amp;$B$11&amp;"'!"&amp;"$A:$A"),AT$1)</f>
        <v>0</v>
      </c>
      <c r="AU49" s="202">
        <f ca="1">SUMIFS(INDIRECT("'"&amp;$A49&amp;$B$11&amp;"'!"&amp;"$Ah:$Ah"),INDIRECT("'"&amp;$A49&amp;$B$11&amp;"'!"&amp;"$A:$A"),AU$1)</f>
        <v>0</v>
      </c>
      <c r="AV49" s="202">
        <f ca="1">SUMIFS(INDIRECT("'"&amp;$A49&amp;$B$11&amp;"'!"&amp;"$Ah:$Ah"),INDIRECT("'"&amp;$A49&amp;$B$11&amp;"'!"&amp;"$A:$A"),AV$1)</f>
        <v>0</v>
      </c>
      <c r="AW49" s="202">
        <f ca="1">SUMIFS(INDIRECT("'"&amp;$A49&amp;$B$11&amp;"'!"&amp;"$Ah:$Ah"),INDIRECT("'"&amp;$A49&amp;$B$11&amp;"'!"&amp;"$A:$A"),AW$1)</f>
        <v>0</v>
      </c>
      <c r="AX49" s="202">
        <f ca="1">SUMIFS(INDIRECT("'"&amp;$A49&amp;$B$11&amp;"'!"&amp;"$Ah:$Ah"),INDIRECT("'"&amp;$A49&amp;$B$11&amp;"'!"&amp;"$A:$A"),AX$1)</f>
        <v>0</v>
      </c>
      <c r="AY49" s="202">
        <f ca="1">SUMIFS(INDIRECT("'"&amp;$A49&amp;$B$11&amp;"'!"&amp;"$Ah:$Ah"),INDIRECT("'"&amp;$A49&amp;$B$11&amp;"'!"&amp;"$A:$A"),AY$1)</f>
        <v>0</v>
      </c>
      <c r="AZ49" s="202">
        <f ca="1">SUMIFS(INDIRECT("'"&amp;$A49&amp;$B$11&amp;"'!"&amp;"$Ah:$Ah"),INDIRECT("'"&amp;$A49&amp;$B$11&amp;"'!"&amp;"$A:$A"),AZ$1)</f>
        <v>0</v>
      </c>
      <c r="BA49" s="202">
        <f ca="1">SUMIFS(INDIRECT("'"&amp;$A49&amp;$B$11&amp;"'!"&amp;"$Ah:$Ah"),INDIRECT("'"&amp;$A49&amp;$B$11&amp;"'!"&amp;"$A:$A"),BA$1)</f>
        <v>0</v>
      </c>
      <c r="BB49" s="202">
        <f ca="1">SUMIFS(INDIRECT("'"&amp;$A49&amp;$B$11&amp;"'!"&amp;"$Ah:$Ah"),INDIRECT("'"&amp;$A49&amp;$B$11&amp;"'!"&amp;"$A:$A"),BB$1)</f>
        <v>0</v>
      </c>
      <c r="BC49" s="202">
        <f ca="1">SUMIFS(INDIRECT("'"&amp;$A49&amp;$B$11&amp;"'!"&amp;"$Ah:$Ah"),INDIRECT("'"&amp;$A49&amp;$B$11&amp;"'!"&amp;"$A:$A"),BC$1)</f>
        <v>0</v>
      </c>
      <c r="BD49" s="202">
        <f ca="1">SUMIFS(INDIRECT("'"&amp;$A49&amp;$B$11&amp;"'!"&amp;"$Ah:$Ah"),INDIRECT("'"&amp;$A49&amp;$B$11&amp;"'!"&amp;"$A:$A"),BD$1)</f>
        <v>0</v>
      </c>
      <c r="BE49" s="202">
        <f ca="1">SUMIFS(INDIRECT("'"&amp;$A49&amp;$B$11&amp;"'!"&amp;"$Ah:$Ah"),INDIRECT("'"&amp;$A49&amp;$B$11&amp;"'!"&amp;"$A:$A"),BE$1)</f>
        <v>0</v>
      </c>
      <c r="BF49" s="202">
        <f ca="1">SUMIFS(INDIRECT("'"&amp;$A49&amp;$B$11&amp;"'!"&amp;"$Ah:$Ah"),INDIRECT("'"&amp;$A49&amp;$B$11&amp;"'!"&amp;"$A:$A"),BF$1)</f>
        <v>0</v>
      </c>
      <c r="BG49" s="202">
        <f ca="1">SUMIFS(INDIRECT("'"&amp;$A49&amp;$B$11&amp;"'!"&amp;"$Ah:$Ah"),INDIRECT("'"&amp;$A49&amp;$B$11&amp;"'!"&amp;"$A:$A"),BG$1)</f>
        <v>0</v>
      </c>
      <c r="BH49" s="202">
        <f ca="1">SUMIFS(INDIRECT("'"&amp;$A49&amp;$B$11&amp;"'!"&amp;"$Ah:$Ah"),INDIRECT("'"&amp;$A49&amp;$B$11&amp;"'!"&amp;"$A:$A"),BH$1)</f>
        <v>0</v>
      </c>
      <c r="BI49" s="202">
        <f ca="1">SUMIFS(INDIRECT("'"&amp;$A49&amp;$B$11&amp;"'!"&amp;"$Ah:$Ah"),INDIRECT("'"&amp;$A49&amp;$B$11&amp;"'!"&amp;"$A:$A"),BI$1)</f>
        <v>0</v>
      </c>
      <c r="BJ49" s="202">
        <f ca="1">SUMIFS(INDIRECT("'"&amp;$A49&amp;$B$11&amp;"'!"&amp;"$Ah:$Ah"),INDIRECT("'"&amp;$A49&amp;$B$11&amp;"'!"&amp;"$A:$A"),BJ$1)</f>
        <v>0</v>
      </c>
      <c r="BK49" s="202">
        <f ca="1">SUMIFS(INDIRECT("'"&amp;$A49&amp;$B$11&amp;"'!"&amp;"$Ah:$Ah"),INDIRECT("'"&amp;$A49&amp;$B$11&amp;"'!"&amp;"$A:$A"),BK$1)</f>
        <v>0</v>
      </c>
      <c r="BL49" s="202">
        <f ca="1">SUMIFS(INDIRECT("'"&amp;$A49&amp;$B$11&amp;"'!"&amp;"$Ah:$Ah"),INDIRECT("'"&amp;$A49&amp;$B$11&amp;"'!"&amp;"$A:$A"),BL$1)</f>
        <v>0</v>
      </c>
      <c r="BM49" s="202">
        <f ca="1">SUMIFS(INDIRECT("'"&amp;$A49&amp;$B$11&amp;"'!"&amp;"$Ah:$Ah"),INDIRECT("'"&amp;$A49&amp;$B$11&amp;"'!"&amp;"$A:$A"),BM$1)</f>
        <v>0</v>
      </c>
      <c r="BN49" s="202">
        <f ca="1">SUMIFS(INDIRECT("'"&amp;$A49&amp;$B$11&amp;"'!"&amp;"$Ah:$Ah"),INDIRECT("'"&amp;$A49&amp;$B$11&amp;"'!"&amp;"$A:$A"),BN$1)</f>
        <v>0</v>
      </c>
      <c r="BO49" s="202">
        <f ca="1">SUMIFS(INDIRECT("'"&amp;$A49&amp;$B$11&amp;"'!"&amp;"$Ah:$Ah"),INDIRECT("'"&amp;$A49&amp;$B$11&amp;"'!"&amp;"$A:$A"),BO$1)</f>
        <v>0</v>
      </c>
      <c r="BP49" s="202">
        <f ca="1">SUMIFS(INDIRECT("'"&amp;$A49&amp;$B$11&amp;"'!"&amp;"$Ah:$Ah"),INDIRECT("'"&amp;$A49&amp;$B$11&amp;"'!"&amp;"$A:$A"),BP$1)</f>
        <v>0</v>
      </c>
      <c r="BQ49" s="202">
        <f ca="1">SUMIFS(INDIRECT("'"&amp;$A49&amp;$B$11&amp;"'!"&amp;"$Ah:$Ah"),INDIRECT("'"&amp;$A49&amp;$B$11&amp;"'!"&amp;"$A:$A"),BQ$1)</f>
        <v>0</v>
      </c>
      <c r="BR49" s="202">
        <f ca="1">SUMIFS(INDIRECT("'"&amp;$A49&amp;$B$11&amp;"'!"&amp;"$Ah:$Ah"),INDIRECT("'"&amp;$A49&amp;$B$11&amp;"'!"&amp;"$A:$A"),BR$1)</f>
        <v>0</v>
      </c>
      <c r="BS49" s="202">
        <f ca="1">SUMIFS(INDIRECT("'"&amp;$A49&amp;$B$11&amp;"'!"&amp;"$Ah:$Ah"),INDIRECT("'"&amp;$A49&amp;$B$11&amp;"'!"&amp;"$A:$A"),BS$1)</f>
        <v>0</v>
      </c>
      <c r="BT49" s="202">
        <f ca="1">SUMIFS(INDIRECT("'"&amp;$A49&amp;$B$11&amp;"'!"&amp;"$Ah:$Ah"),INDIRECT("'"&amp;$A49&amp;$B$11&amp;"'!"&amp;"$A:$A"),BT$1)</f>
        <v>0</v>
      </c>
      <c r="BU49" s="202">
        <f ca="1">SUMIFS(INDIRECT("'"&amp;$A49&amp;$B$11&amp;"'!"&amp;"$Ah:$Ah"),INDIRECT("'"&amp;$A49&amp;$B$11&amp;"'!"&amp;"$A:$A"),BU$1)</f>
        <v>0</v>
      </c>
      <c r="BV49" s="202">
        <f ca="1">SUMIFS(INDIRECT("'"&amp;$A49&amp;$B$11&amp;"'!"&amp;"$Ah:$Ah"),INDIRECT("'"&amp;$A49&amp;$B$11&amp;"'!"&amp;"$A:$A"),BV$1)</f>
        <v>0</v>
      </c>
      <c r="BW49" s="202">
        <f ca="1">SUMIFS(INDIRECT("'"&amp;$A49&amp;$B$11&amp;"'!"&amp;"$Ah:$Ah"),INDIRECT("'"&amp;$A49&amp;$B$11&amp;"'!"&amp;"$A:$A"),BW$1)</f>
        <v>0</v>
      </c>
    </row>
    <row r="50" spans="1:75" x14ac:dyDescent="0.3">
      <c r="A50" s="5" t="s">
        <v>68</v>
      </c>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2"/>
      <c r="AG50" s="202">
        <f ca="1">SUMIFS(INDIRECT("'"&amp;$A50&amp;$B$11&amp;"'!"&amp;"$Ah:$Ah"),INDIRECT("'"&amp;$A50&amp;$B$11&amp;"'!"&amp;"$A:$A"),AG$1)</f>
        <v>9.1315676152994973E-3</v>
      </c>
      <c r="AH50" s="202">
        <f ca="1">SUMIFS(INDIRECT("'"&amp;$A50&amp;$B$11&amp;"'!"&amp;"$Ah:$Ah"),INDIRECT("'"&amp;$A50&amp;$B$11&amp;"'!"&amp;"$A:$A"),AH$1)</f>
        <v>2.8602295237459316E-2</v>
      </c>
      <c r="AI50" s="202">
        <f ca="1">SUMIFS(INDIRECT("'"&amp;$A50&amp;$B$11&amp;"'!"&amp;"$Ah:$Ah"),INDIRECT("'"&amp;$A50&amp;$B$11&amp;"'!"&amp;"$A:$A"),AI$1)</f>
        <v>4.966356297557855E-2</v>
      </c>
      <c r="AJ50" s="202">
        <f ca="1">SUMIFS(INDIRECT("'"&amp;$A50&amp;$B$11&amp;"'!"&amp;"$Ah:$Ah"),INDIRECT("'"&amp;$A50&amp;$B$11&amp;"'!"&amp;"$A:$A"),AJ$1)</f>
        <v>6.3212259488622663E-2</v>
      </c>
      <c r="AK50" s="202">
        <f ca="1">SUMIFS(INDIRECT("'"&amp;$A50&amp;$B$11&amp;"'!"&amp;"$Ah:$Ah"),INDIRECT("'"&amp;$A50&amp;$B$11&amp;"'!"&amp;"$A:$A"),AK$1)</f>
        <v>6.7982485963637165E-2</v>
      </c>
      <c r="AL50" s="202">
        <f ca="1">SUMIFS(INDIRECT("'"&amp;$A50&amp;$B$11&amp;"'!"&amp;"$Ah:$Ah"),INDIRECT("'"&amp;$A50&amp;$B$11&amp;"'!"&amp;"$A:$A"),AL$1)</f>
        <v>7.8380970961449997E-2</v>
      </c>
      <c r="AM50" s="202">
        <f ca="1">SUMIFS(INDIRECT("'"&amp;$A50&amp;$B$11&amp;"'!"&amp;"$Ah:$Ah"),INDIRECT("'"&amp;$A50&amp;$B$11&amp;"'!"&amp;"$A:$A"),AM$1)</f>
        <v>7.2695346961737767E-2</v>
      </c>
      <c r="AN50" s="202">
        <f ca="1">SUMIFS(INDIRECT("'"&amp;$A50&amp;$B$11&amp;"'!"&amp;"$Ah:$Ah"),INDIRECT("'"&amp;$A50&amp;$B$11&amp;"'!"&amp;"$A:$A"),AN$1)</f>
        <v>5.5907384460920001E-2</v>
      </c>
      <c r="AO50" s="202">
        <f ca="1">SUMIFS(INDIRECT("'"&amp;$A50&amp;$B$11&amp;"'!"&amp;"$Ah:$Ah"),INDIRECT("'"&amp;$A50&amp;$B$11&amp;"'!"&amp;"$A:$A"),AO$1)</f>
        <v>4.4632711072149368E-2</v>
      </c>
      <c r="AP50" s="202">
        <f ca="1">SUMIFS(INDIRECT("'"&amp;$A50&amp;$B$11&amp;"'!"&amp;"$Ah:$Ah"),INDIRECT("'"&amp;$A50&amp;$B$11&amp;"'!"&amp;"$A:$A"),AP$1)</f>
        <v>3.0015254182610845E-2</v>
      </c>
      <c r="AQ50" s="202">
        <f ca="1">SUMIFS(INDIRECT("'"&amp;$A50&amp;$B$11&amp;"'!"&amp;"$Ah:$Ah"),INDIRECT("'"&amp;$A50&amp;$B$11&amp;"'!"&amp;"$A:$A"),AQ$1)</f>
        <v>2.3071347934679229E-2</v>
      </c>
      <c r="AR50" s="202">
        <f ca="1">SUMIFS(INDIRECT("'"&amp;$A50&amp;$B$11&amp;"'!"&amp;"$Ah:$Ah"),INDIRECT("'"&amp;$A50&amp;$B$11&amp;"'!"&amp;"$A:$A"),AR$1)</f>
        <v>1.7350119307223778E-2</v>
      </c>
      <c r="AS50" s="202">
        <f ca="1">SUMIFS(INDIRECT("'"&amp;$A50&amp;$B$11&amp;"'!"&amp;"$Ah:$Ah"),INDIRECT("'"&amp;$A50&amp;$B$11&amp;"'!"&amp;"$A:$A"),AS$1)</f>
        <v>1.1382041393065851E-2</v>
      </c>
      <c r="AT50" s="202">
        <f ca="1">SUMIFS(INDIRECT("'"&amp;$A50&amp;$B$11&amp;"'!"&amp;"$Ah:$Ah"),INDIRECT("'"&amp;$A50&amp;$B$11&amp;"'!"&amp;"$A:$A"),AT$1)</f>
        <v>4.6977382066743581E-3</v>
      </c>
      <c r="AU50" s="202">
        <f ca="1">SUMIFS(INDIRECT("'"&amp;$A50&amp;$B$11&amp;"'!"&amp;"$Ah:$Ah"),INDIRECT("'"&amp;$A50&amp;$B$11&amp;"'!"&amp;"$A:$A"),AU$1)</f>
        <v>0</v>
      </c>
      <c r="AV50" s="202">
        <f ca="1">SUMIFS(INDIRECT("'"&amp;$A50&amp;$B$11&amp;"'!"&amp;"$Ah:$Ah"),INDIRECT("'"&amp;$A50&amp;$B$11&amp;"'!"&amp;"$A:$A"),AV$1)</f>
        <v>0</v>
      </c>
      <c r="AW50" s="202">
        <f ca="1">SUMIFS(INDIRECT("'"&amp;$A50&amp;$B$11&amp;"'!"&amp;"$Ah:$Ah"),INDIRECT("'"&amp;$A50&amp;$B$11&amp;"'!"&amp;"$A:$A"),AW$1)</f>
        <v>0</v>
      </c>
      <c r="AX50" s="202">
        <f ca="1">SUMIFS(INDIRECT("'"&amp;$A50&amp;$B$11&amp;"'!"&amp;"$Ah:$Ah"),INDIRECT("'"&amp;$A50&amp;$B$11&amp;"'!"&amp;"$A:$A"),AX$1)</f>
        <v>0</v>
      </c>
      <c r="AY50" s="202">
        <f ca="1">SUMIFS(INDIRECT("'"&amp;$A50&amp;$B$11&amp;"'!"&amp;"$Ah:$Ah"),INDIRECT("'"&amp;$A50&amp;$B$11&amp;"'!"&amp;"$A:$A"),AY$1)</f>
        <v>0</v>
      </c>
      <c r="AZ50" s="202">
        <f ca="1">SUMIFS(INDIRECT("'"&amp;$A50&amp;$B$11&amp;"'!"&amp;"$Ah:$Ah"),INDIRECT("'"&amp;$A50&amp;$B$11&amp;"'!"&amp;"$A:$A"),AZ$1)</f>
        <v>0</v>
      </c>
      <c r="BA50" s="202">
        <f ca="1">SUMIFS(INDIRECT("'"&amp;$A50&amp;$B$11&amp;"'!"&amp;"$Ah:$Ah"),INDIRECT("'"&amp;$A50&amp;$B$11&amp;"'!"&amp;"$A:$A"),BA$1)</f>
        <v>0</v>
      </c>
      <c r="BB50" s="202">
        <f ca="1">SUMIFS(INDIRECT("'"&amp;$A50&amp;$B$11&amp;"'!"&amp;"$Ah:$Ah"),INDIRECT("'"&amp;$A50&amp;$B$11&amp;"'!"&amp;"$A:$A"),BB$1)</f>
        <v>0</v>
      </c>
      <c r="BC50" s="202">
        <f ca="1">SUMIFS(INDIRECT("'"&amp;$A50&amp;$B$11&amp;"'!"&amp;"$Ah:$Ah"),INDIRECT("'"&amp;$A50&amp;$B$11&amp;"'!"&amp;"$A:$A"),BC$1)</f>
        <v>0</v>
      </c>
      <c r="BD50" s="202">
        <f ca="1">SUMIFS(INDIRECT("'"&amp;$A50&amp;$B$11&amp;"'!"&amp;"$Ah:$Ah"),INDIRECT("'"&amp;$A50&amp;$B$11&amp;"'!"&amp;"$A:$A"),BD$1)</f>
        <v>0</v>
      </c>
      <c r="BE50" s="202">
        <f ca="1">SUMIFS(INDIRECT("'"&amp;$A50&amp;$B$11&amp;"'!"&amp;"$Ah:$Ah"),INDIRECT("'"&amp;$A50&amp;$B$11&amp;"'!"&amp;"$A:$A"),BE$1)</f>
        <v>0</v>
      </c>
      <c r="BF50" s="202">
        <f ca="1">SUMIFS(INDIRECT("'"&amp;$A50&amp;$B$11&amp;"'!"&amp;"$Ah:$Ah"),INDIRECT("'"&amp;$A50&amp;$B$11&amp;"'!"&amp;"$A:$A"),BF$1)</f>
        <v>0</v>
      </c>
      <c r="BG50" s="202">
        <f ca="1">SUMIFS(INDIRECT("'"&amp;$A50&amp;$B$11&amp;"'!"&amp;"$Ah:$Ah"),INDIRECT("'"&amp;$A50&amp;$B$11&amp;"'!"&amp;"$A:$A"),BG$1)</f>
        <v>0</v>
      </c>
      <c r="BH50" s="202">
        <f ca="1">SUMIFS(INDIRECT("'"&amp;$A50&amp;$B$11&amp;"'!"&amp;"$Ah:$Ah"),INDIRECT("'"&amp;$A50&amp;$B$11&amp;"'!"&amp;"$A:$A"),BH$1)</f>
        <v>0</v>
      </c>
      <c r="BI50" s="202">
        <f ca="1">SUMIFS(INDIRECT("'"&amp;$A50&amp;$B$11&amp;"'!"&amp;"$Ah:$Ah"),INDIRECT("'"&amp;$A50&amp;$B$11&amp;"'!"&amp;"$A:$A"),BI$1)</f>
        <v>0</v>
      </c>
      <c r="BJ50" s="202">
        <f ca="1">SUMIFS(INDIRECT("'"&amp;$A50&amp;$B$11&amp;"'!"&amp;"$Ah:$Ah"),INDIRECT("'"&amp;$A50&amp;$B$11&amp;"'!"&amp;"$A:$A"),BJ$1)</f>
        <v>0</v>
      </c>
      <c r="BK50" s="202">
        <f ca="1">SUMIFS(INDIRECT("'"&amp;$A50&amp;$B$11&amp;"'!"&amp;"$Ah:$Ah"),INDIRECT("'"&amp;$A50&amp;$B$11&amp;"'!"&amp;"$A:$A"),BK$1)</f>
        <v>0</v>
      </c>
      <c r="BL50" s="202">
        <f ca="1">SUMIFS(INDIRECT("'"&amp;$A50&amp;$B$11&amp;"'!"&amp;"$Ah:$Ah"),INDIRECT("'"&amp;$A50&amp;$B$11&amp;"'!"&amp;"$A:$A"),BL$1)</f>
        <v>0</v>
      </c>
      <c r="BM50" s="202">
        <f ca="1">SUMIFS(INDIRECT("'"&amp;$A50&amp;$B$11&amp;"'!"&amp;"$Ah:$Ah"),INDIRECT("'"&amp;$A50&amp;$B$11&amp;"'!"&amp;"$A:$A"),BM$1)</f>
        <v>0</v>
      </c>
      <c r="BN50" s="202">
        <f ca="1">SUMIFS(INDIRECT("'"&amp;$A50&amp;$B$11&amp;"'!"&amp;"$Ah:$Ah"),INDIRECT("'"&amp;$A50&amp;$B$11&amp;"'!"&amp;"$A:$A"),BN$1)</f>
        <v>0</v>
      </c>
      <c r="BO50" s="202">
        <f ca="1">SUMIFS(INDIRECT("'"&amp;$A50&amp;$B$11&amp;"'!"&amp;"$Ah:$Ah"),INDIRECT("'"&amp;$A50&amp;$B$11&amp;"'!"&amp;"$A:$A"),BO$1)</f>
        <v>0</v>
      </c>
      <c r="BP50" s="202">
        <f ca="1">SUMIFS(INDIRECT("'"&amp;$A50&amp;$B$11&amp;"'!"&amp;"$Ah:$Ah"),INDIRECT("'"&amp;$A50&amp;$B$11&amp;"'!"&amp;"$A:$A"),BP$1)</f>
        <v>0</v>
      </c>
      <c r="BQ50" s="202">
        <f ca="1">SUMIFS(INDIRECT("'"&amp;$A50&amp;$B$11&amp;"'!"&amp;"$Ah:$Ah"),INDIRECT("'"&amp;$A50&amp;$B$11&amp;"'!"&amp;"$A:$A"),BQ$1)</f>
        <v>0</v>
      </c>
      <c r="BR50" s="202">
        <f ca="1">SUMIFS(INDIRECT("'"&amp;$A50&amp;$B$11&amp;"'!"&amp;"$Ah:$Ah"),INDIRECT("'"&amp;$A50&amp;$B$11&amp;"'!"&amp;"$A:$A"),BR$1)</f>
        <v>0</v>
      </c>
      <c r="BS50" s="202">
        <f ca="1">SUMIFS(INDIRECT("'"&amp;$A50&amp;$B$11&amp;"'!"&amp;"$Ah:$Ah"),INDIRECT("'"&amp;$A50&amp;$B$11&amp;"'!"&amp;"$A:$A"),BS$1)</f>
        <v>0</v>
      </c>
      <c r="BT50" s="202">
        <f ca="1">SUMIFS(INDIRECT("'"&amp;$A50&amp;$B$11&amp;"'!"&amp;"$Ah:$Ah"),INDIRECT("'"&amp;$A50&amp;$B$11&amp;"'!"&amp;"$A:$A"),BT$1)</f>
        <v>0</v>
      </c>
      <c r="BU50" s="202">
        <f ca="1">SUMIFS(INDIRECT("'"&amp;$A50&amp;$B$11&amp;"'!"&amp;"$Ah:$Ah"),INDIRECT("'"&amp;$A50&amp;$B$11&amp;"'!"&amp;"$A:$A"),BU$1)</f>
        <v>0</v>
      </c>
      <c r="BV50" s="202">
        <f ca="1">SUMIFS(INDIRECT("'"&amp;$A50&amp;$B$11&amp;"'!"&amp;"$Ah:$Ah"),INDIRECT("'"&amp;$A50&amp;$B$11&amp;"'!"&amp;"$A:$A"),BV$1)</f>
        <v>0</v>
      </c>
      <c r="BW50" s="202">
        <f ca="1">SUMIFS(INDIRECT("'"&amp;$A50&amp;$B$11&amp;"'!"&amp;"$Ah:$Ah"),INDIRECT("'"&amp;$A50&amp;$B$11&amp;"'!"&amp;"$A:$A"),BW$1)</f>
        <v>0</v>
      </c>
    </row>
    <row r="51" spans="1:75" s="6" customFormat="1" ht="13.8" x14ac:dyDescent="0.3">
      <c r="AF51" s="2"/>
    </row>
    <row r="52" spans="1:75" x14ac:dyDescent="0.3">
      <c r="A52" s="6" t="s">
        <v>700</v>
      </c>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2"/>
      <c r="AG52" s="48">
        <f ca="1">SUM(AG53:AG56)</f>
        <v>79.899316963485205</v>
      </c>
      <c r="AH52" s="48">
        <f t="shared" ref="AH52:BL52" ca="1" si="25">SUM(AH53:AH56)</f>
        <v>85.550084051104534</v>
      </c>
      <c r="AI52" s="48">
        <f t="shared" ca="1" si="25"/>
        <v>122.98555303176641</v>
      </c>
      <c r="AJ52" s="48">
        <f t="shared" ca="1" si="25"/>
        <v>172.64432112631761</v>
      </c>
      <c r="AK52" s="48">
        <f t="shared" ca="1" si="25"/>
        <v>183.70553816652136</v>
      </c>
      <c r="AL52" s="48">
        <f t="shared" ca="1" si="25"/>
        <v>214.88126206709677</v>
      </c>
      <c r="AM52" s="48">
        <f t="shared" ca="1" si="25"/>
        <v>178.13948144083437</v>
      </c>
      <c r="AN52" s="48">
        <f t="shared" ca="1" si="25"/>
        <v>110.61951602277372</v>
      </c>
      <c r="AO52" s="48">
        <f t="shared" ca="1" si="25"/>
        <v>75.979995632079309</v>
      </c>
      <c r="AP52" s="48">
        <f t="shared" ca="1" si="25"/>
        <v>44.389512481554291</v>
      </c>
      <c r="AQ52" s="48">
        <f t="shared" ca="1" si="25"/>
        <v>29.764645098157413</v>
      </c>
      <c r="AR52" s="48">
        <f t="shared" ca="1" si="25"/>
        <v>19.365400794602778</v>
      </c>
      <c r="AS52" s="48">
        <f t="shared" ca="1" si="25"/>
        <v>11.091399374946178</v>
      </c>
      <c r="AT52" s="48">
        <f t="shared" ca="1" si="25"/>
        <v>3.9811677580777092</v>
      </c>
      <c r="AU52" s="48">
        <f t="shared" ca="1" si="25"/>
        <v>0</v>
      </c>
      <c r="AV52" s="48">
        <f t="shared" ca="1" si="25"/>
        <v>0</v>
      </c>
      <c r="AW52" s="48">
        <f t="shared" ca="1" si="25"/>
        <v>0</v>
      </c>
      <c r="AX52" s="48">
        <f t="shared" ca="1" si="25"/>
        <v>0</v>
      </c>
      <c r="AY52" s="48">
        <f t="shared" ca="1" si="25"/>
        <v>0</v>
      </c>
      <c r="AZ52" s="48">
        <f t="shared" ca="1" si="25"/>
        <v>0</v>
      </c>
      <c r="BA52" s="48">
        <f t="shared" ca="1" si="25"/>
        <v>0</v>
      </c>
      <c r="BB52" s="48">
        <f t="shared" ca="1" si="25"/>
        <v>0</v>
      </c>
      <c r="BC52" s="48">
        <f t="shared" ca="1" si="25"/>
        <v>0</v>
      </c>
      <c r="BD52" s="48">
        <f t="shared" ca="1" si="25"/>
        <v>0</v>
      </c>
      <c r="BE52" s="48">
        <f t="shared" ca="1" si="25"/>
        <v>0</v>
      </c>
      <c r="BF52" s="48">
        <f t="shared" ca="1" si="25"/>
        <v>0</v>
      </c>
      <c r="BG52" s="48">
        <f t="shared" ca="1" si="25"/>
        <v>0</v>
      </c>
      <c r="BH52" s="48">
        <f t="shared" ca="1" si="25"/>
        <v>0</v>
      </c>
      <c r="BI52" s="48">
        <f t="shared" ca="1" si="25"/>
        <v>0</v>
      </c>
      <c r="BJ52" s="48">
        <f t="shared" ca="1" si="25"/>
        <v>0</v>
      </c>
      <c r="BK52" s="48">
        <f t="shared" ca="1" si="25"/>
        <v>0</v>
      </c>
      <c r="BL52" s="48">
        <f t="shared" ca="1" si="25"/>
        <v>0</v>
      </c>
      <c r="BM52" s="48">
        <f t="shared" ref="BM52:BW52" ca="1" si="26">SUM(BM53:BM56)</f>
        <v>0</v>
      </c>
      <c r="BN52" s="48">
        <f t="shared" ca="1" si="26"/>
        <v>0</v>
      </c>
      <c r="BO52" s="48">
        <f t="shared" ca="1" si="26"/>
        <v>0</v>
      </c>
      <c r="BP52" s="48">
        <f t="shared" ca="1" si="26"/>
        <v>0</v>
      </c>
      <c r="BQ52" s="48">
        <f t="shared" ca="1" si="26"/>
        <v>0</v>
      </c>
      <c r="BR52" s="48">
        <f t="shared" ca="1" si="26"/>
        <v>0</v>
      </c>
      <c r="BS52" s="48">
        <f t="shared" ca="1" si="26"/>
        <v>0</v>
      </c>
      <c r="BT52" s="48">
        <f t="shared" ca="1" si="26"/>
        <v>0</v>
      </c>
      <c r="BU52" s="48">
        <f t="shared" ca="1" si="26"/>
        <v>0</v>
      </c>
      <c r="BV52" s="48">
        <f t="shared" ca="1" si="26"/>
        <v>0</v>
      </c>
      <c r="BW52" s="48">
        <f t="shared" ca="1" si="26"/>
        <v>0</v>
      </c>
    </row>
    <row r="53" spans="1:75" x14ac:dyDescent="0.3">
      <c r="A53" s="5" t="s">
        <v>66</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2"/>
      <c r="AG53" s="51">
        <f ca="1">AG47*AG6</f>
        <v>71.084129928888927</v>
      </c>
      <c r="AH53" s="51">
        <f t="shared" ref="AH53:BW53" ca="1" si="27">AH47*AH6</f>
        <v>44.790608492639819</v>
      </c>
      <c r="AI53" s="51">
        <f t="shared" ca="1" si="27"/>
        <v>33.577777601861207</v>
      </c>
      <c r="AJ53" s="51">
        <f t="shared" ca="1" si="27"/>
        <v>39.103504505113243</v>
      </c>
      <c r="AK53" s="51">
        <f t="shared" ca="1" si="27"/>
        <v>35.402849066453129</v>
      </c>
      <c r="AL53" s="51">
        <f t="shared" ca="1" si="27"/>
        <v>24.752800091281348</v>
      </c>
      <c r="AM53" s="51">
        <f t="shared" ca="1" si="27"/>
        <v>10.478767429277895</v>
      </c>
      <c r="AN53" s="51">
        <f t="shared" ca="1" si="27"/>
        <v>1.3102474457601174</v>
      </c>
      <c r="AO53" s="51">
        <f t="shared" ca="1" si="27"/>
        <v>0</v>
      </c>
      <c r="AP53" s="51">
        <f t="shared" ca="1" si="27"/>
        <v>0</v>
      </c>
      <c r="AQ53" s="51">
        <f t="shared" ca="1" si="27"/>
        <v>0</v>
      </c>
      <c r="AR53" s="51">
        <f t="shared" ca="1" si="27"/>
        <v>0</v>
      </c>
      <c r="AS53" s="51">
        <f t="shared" ca="1" si="27"/>
        <v>0</v>
      </c>
      <c r="AT53" s="51">
        <f t="shared" ca="1" si="27"/>
        <v>0</v>
      </c>
      <c r="AU53" s="51">
        <f t="shared" ca="1" si="27"/>
        <v>0</v>
      </c>
      <c r="AV53" s="51">
        <f t="shared" ca="1" si="27"/>
        <v>0</v>
      </c>
      <c r="AW53" s="51">
        <f t="shared" ca="1" si="27"/>
        <v>0</v>
      </c>
      <c r="AX53" s="51">
        <f t="shared" ca="1" si="27"/>
        <v>0</v>
      </c>
      <c r="AY53" s="51">
        <f t="shared" ca="1" si="27"/>
        <v>0</v>
      </c>
      <c r="AZ53" s="51">
        <f t="shared" ca="1" si="27"/>
        <v>0</v>
      </c>
      <c r="BA53" s="51">
        <f t="shared" ca="1" si="27"/>
        <v>0</v>
      </c>
      <c r="BB53" s="51">
        <f t="shared" ca="1" si="27"/>
        <v>0</v>
      </c>
      <c r="BC53" s="51">
        <f t="shared" ca="1" si="27"/>
        <v>0</v>
      </c>
      <c r="BD53" s="51">
        <f t="shared" ca="1" si="27"/>
        <v>0</v>
      </c>
      <c r="BE53" s="51">
        <f t="shared" ca="1" si="27"/>
        <v>0</v>
      </c>
      <c r="BF53" s="51">
        <f t="shared" ca="1" si="27"/>
        <v>0</v>
      </c>
      <c r="BG53" s="51">
        <f t="shared" ca="1" si="27"/>
        <v>0</v>
      </c>
      <c r="BH53" s="51">
        <f t="shared" ca="1" si="27"/>
        <v>0</v>
      </c>
      <c r="BI53" s="51">
        <f t="shared" ca="1" si="27"/>
        <v>0</v>
      </c>
      <c r="BJ53" s="51">
        <f t="shared" ca="1" si="27"/>
        <v>0</v>
      </c>
      <c r="BK53" s="51">
        <f t="shared" ca="1" si="27"/>
        <v>0</v>
      </c>
      <c r="BL53" s="51">
        <f t="shared" ca="1" si="27"/>
        <v>0</v>
      </c>
      <c r="BM53" s="51">
        <f t="shared" ca="1" si="27"/>
        <v>0</v>
      </c>
      <c r="BN53" s="51">
        <f t="shared" ca="1" si="27"/>
        <v>0</v>
      </c>
      <c r="BO53" s="51">
        <f t="shared" ca="1" si="27"/>
        <v>0</v>
      </c>
      <c r="BP53" s="51">
        <f t="shared" ca="1" si="27"/>
        <v>0</v>
      </c>
      <c r="BQ53" s="51">
        <f t="shared" ca="1" si="27"/>
        <v>0</v>
      </c>
      <c r="BR53" s="51">
        <f t="shared" ca="1" si="27"/>
        <v>0</v>
      </c>
      <c r="BS53" s="51">
        <f t="shared" ca="1" si="27"/>
        <v>0</v>
      </c>
      <c r="BT53" s="51">
        <f t="shared" ca="1" si="27"/>
        <v>0</v>
      </c>
      <c r="BU53" s="51">
        <f t="shared" ca="1" si="27"/>
        <v>0</v>
      </c>
      <c r="BV53" s="51">
        <f t="shared" ca="1" si="27"/>
        <v>0</v>
      </c>
      <c r="BW53" s="51">
        <f t="shared" ca="1" si="27"/>
        <v>0</v>
      </c>
    </row>
    <row r="54" spans="1:75" x14ac:dyDescent="0.3">
      <c r="A54" s="5" t="s">
        <v>67</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2"/>
      <c r="AG54" s="118"/>
      <c r="AH54" s="118"/>
      <c r="AI54" s="118"/>
      <c r="AJ54" s="118"/>
      <c r="AK54" s="118"/>
      <c r="AL54" s="118"/>
      <c r="AM54" s="118"/>
      <c r="AN54" s="118"/>
      <c r="AO54" s="118"/>
      <c r="AP54" s="118"/>
      <c r="AQ54" s="118"/>
      <c r="AR54" s="118"/>
      <c r="AS54" s="118"/>
      <c r="AT54" s="118"/>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18"/>
      <c r="BR54" s="118"/>
      <c r="BS54" s="118"/>
      <c r="BT54" s="118"/>
      <c r="BU54" s="118"/>
      <c r="BV54" s="118"/>
      <c r="BW54" s="118"/>
    </row>
    <row r="55" spans="1:75" x14ac:dyDescent="0.3">
      <c r="A55" s="5" t="s">
        <v>69</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2"/>
      <c r="AG55" s="51">
        <f ca="1">AG49*AG8</f>
        <v>0</v>
      </c>
      <c r="AH55" s="51">
        <f t="shared" ref="AH55:BW55" ca="1" si="28">AH49*AH8</f>
        <v>0</v>
      </c>
      <c r="AI55" s="51">
        <f t="shared" ca="1" si="28"/>
        <v>0</v>
      </c>
      <c r="AJ55" s="51">
        <f t="shared" ca="1" si="28"/>
        <v>0</v>
      </c>
      <c r="AK55" s="51">
        <f t="shared" ca="1" si="28"/>
        <v>0</v>
      </c>
      <c r="AL55" s="51">
        <f t="shared" ca="1" si="28"/>
        <v>0</v>
      </c>
      <c r="AM55" s="51">
        <f t="shared" ca="1" si="28"/>
        <v>0</v>
      </c>
      <c r="AN55" s="51">
        <f t="shared" ca="1" si="28"/>
        <v>0</v>
      </c>
      <c r="AO55" s="51">
        <f t="shared" ca="1" si="28"/>
        <v>0</v>
      </c>
      <c r="AP55" s="51">
        <f t="shared" ca="1" si="28"/>
        <v>0</v>
      </c>
      <c r="AQ55" s="51">
        <f t="shared" ca="1" si="28"/>
        <v>0</v>
      </c>
      <c r="AR55" s="51">
        <f t="shared" ca="1" si="28"/>
        <v>0</v>
      </c>
      <c r="AS55" s="51">
        <f t="shared" ca="1" si="28"/>
        <v>0</v>
      </c>
      <c r="AT55" s="51">
        <f t="shared" ca="1" si="28"/>
        <v>0</v>
      </c>
      <c r="AU55" s="51">
        <f t="shared" ca="1" si="28"/>
        <v>0</v>
      </c>
      <c r="AV55" s="51">
        <f t="shared" ca="1" si="28"/>
        <v>0</v>
      </c>
      <c r="AW55" s="51">
        <f t="shared" ca="1" si="28"/>
        <v>0</v>
      </c>
      <c r="AX55" s="51">
        <f t="shared" ca="1" si="28"/>
        <v>0</v>
      </c>
      <c r="AY55" s="51">
        <f t="shared" ca="1" si="28"/>
        <v>0</v>
      </c>
      <c r="AZ55" s="51">
        <f t="shared" ca="1" si="28"/>
        <v>0</v>
      </c>
      <c r="BA55" s="51">
        <f t="shared" ca="1" si="28"/>
        <v>0</v>
      </c>
      <c r="BB55" s="51">
        <f t="shared" ca="1" si="28"/>
        <v>0</v>
      </c>
      <c r="BC55" s="51">
        <f t="shared" ca="1" si="28"/>
        <v>0</v>
      </c>
      <c r="BD55" s="51">
        <f t="shared" ca="1" si="28"/>
        <v>0</v>
      </c>
      <c r="BE55" s="51">
        <f t="shared" ca="1" si="28"/>
        <v>0</v>
      </c>
      <c r="BF55" s="51">
        <f t="shared" ca="1" si="28"/>
        <v>0</v>
      </c>
      <c r="BG55" s="51">
        <f t="shared" ca="1" si="28"/>
        <v>0</v>
      </c>
      <c r="BH55" s="51">
        <f t="shared" ca="1" si="28"/>
        <v>0</v>
      </c>
      <c r="BI55" s="51">
        <f t="shared" ca="1" si="28"/>
        <v>0</v>
      </c>
      <c r="BJ55" s="51">
        <f t="shared" ca="1" si="28"/>
        <v>0</v>
      </c>
      <c r="BK55" s="51">
        <f t="shared" ca="1" si="28"/>
        <v>0</v>
      </c>
      <c r="BL55" s="51">
        <f t="shared" ca="1" si="28"/>
        <v>0</v>
      </c>
      <c r="BM55" s="51">
        <f t="shared" ca="1" si="28"/>
        <v>0</v>
      </c>
      <c r="BN55" s="51">
        <f t="shared" ca="1" si="28"/>
        <v>0</v>
      </c>
      <c r="BO55" s="51">
        <f t="shared" ca="1" si="28"/>
        <v>0</v>
      </c>
      <c r="BP55" s="51">
        <f t="shared" ca="1" si="28"/>
        <v>0</v>
      </c>
      <c r="BQ55" s="51">
        <f t="shared" ca="1" si="28"/>
        <v>0</v>
      </c>
      <c r="BR55" s="51">
        <f t="shared" ca="1" si="28"/>
        <v>0</v>
      </c>
      <c r="BS55" s="51">
        <f t="shared" ca="1" si="28"/>
        <v>0</v>
      </c>
      <c r="BT55" s="51">
        <f t="shared" ca="1" si="28"/>
        <v>0</v>
      </c>
      <c r="BU55" s="51">
        <f t="shared" ca="1" si="28"/>
        <v>0</v>
      </c>
      <c r="BV55" s="51">
        <f t="shared" ca="1" si="28"/>
        <v>0</v>
      </c>
      <c r="BW55" s="51">
        <f t="shared" ca="1" si="28"/>
        <v>0</v>
      </c>
    </row>
    <row r="56" spans="1:75" x14ac:dyDescent="0.3">
      <c r="A56" s="5" t="s">
        <v>68</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2"/>
      <c r="AG56" s="51">
        <f ca="1">AG50*AG9</f>
        <v>8.8151870345962724</v>
      </c>
      <c r="AH56" s="51">
        <f t="shared" ref="AH56:BW56" ca="1" si="29">AH50*AH9</f>
        <v>40.759475558464707</v>
      </c>
      <c r="AI56" s="51">
        <f t="shared" ca="1" si="29"/>
        <v>89.4077754299052</v>
      </c>
      <c r="AJ56" s="51">
        <f t="shared" ca="1" si="29"/>
        <v>133.54081662120436</v>
      </c>
      <c r="AK56" s="51">
        <f t="shared" ca="1" si="29"/>
        <v>148.30268910006822</v>
      </c>
      <c r="AL56" s="51">
        <f t="shared" ca="1" si="29"/>
        <v>190.12846197581541</v>
      </c>
      <c r="AM56" s="51">
        <f t="shared" ca="1" si="29"/>
        <v>167.66071401155648</v>
      </c>
      <c r="AN56" s="51">
        <f t="shared" ca="1" si="29"/>
        <v>109.30926857701361</v>
      </c>
      <c r="AO56" s="51">
        <f t="shared" ca="1" si="29"/>
        <v>75.979995632079309</v>
      </c>
      <c r="AP56" s="51">
        <f t="shared" ca="1" si="29"/>
        <v>44.389512481554291</v>
      </c>
      <c r="AQ56" s="51">
        <f t="shared" ca="1" si="29"/>
        <v>29.764645098157413</v>
      </c>
      <c r="AR56" s="51">
        <f t="shared" ca="1" si="29"/>
        <v>19.365400794602778</v>
      </c>
      <c r="AS56" s="51">
        <f t="shared" ca="1" si="29"/>
        <v>11.091399374946178</v>
      </c>
      <c r="AT56" s="51">
        <f t="shared" ca="1" si="29"/>
        <v>3.9811677580777092</v>
      </c>
      <c r="AU56" s="51">
        <f t="shared" ca="1" si="29"/>
        <v>0</v>
      </c>
      <c r="AV56" s="51">
        <f t="shared" ca="1" si="29"/>
        <v>0</v>
      </c>
      <c r="AW56" s="51">
        <f t="shared" ca="1" si="29"/>
        <v>0</v>
      </c>
      <c r="AX56" s="51">
        <f t="shared" ca="1" si="29"/>
        <v>0</v>
      </c>
      <c r="AY56" s="51">
        <f t="shared" ca="1" si="29"/>
        <v>0</v>
      </c>
      <c r="AZ56" s="51">
        <f t="shared" ca="1" si="29"/>
        <v>0</v>
      </c>
      <c r="BA56" s="51">
        <f t="shared" ca="1" si="29"/>
        <v>0</v>
      </c>
      <c r="BB56" s="51">
        <f t="shared" ca="1" si="29"/>
        <v>0</v>
      </c>
      <c r="BC56" s="51">
        <f t="shared" ca="1" si="29"/>
        <v>0</v>
      </c>
      <c r="BD56" s="51">
        <f t="shared" ca="1" si="29"/>
        <v>0</v>
      </c>
      <c r="BE56" s="51">
        <f t="shared" ca="1" si="29"/>
        <v>0</v>
      </c>
      <c r="BF56" s="51">
        <f t="shared" ca="1" si="29"/>
        <v>0</v>
      </c>
      <c r="BG56" s="51">
        <f t="shared" ca="1" si="29"/>
        <v>0</v>
      </c>
      <c r="BH56" s="51">
        <f t="shared" ca="1" si="29"/>
        <v>0</v>
      </c>
      <c r="BI56" s="51">
        <f t="shared" ca="1" si="29"/>
        <v>0</v>
      </c>
      <c r="BJ56" s="51">
        <f t="shared" ca="1" si="29"/>
        <v>0</v>
      </c>
      <c r="BK56" s="51">
        <f t="shared" ca="1" si="29"/>
        <v>0</v>
      </c>
      <c r="BL56" s="51">
        <f t="shared" ca="1" si="29"/>
        <v>0</v>
      </c>
      <c r="BM56" s="51">
        <f t="shared" ca="1" si="29"/>
        <v>0</v>
      </c>
      <c r="BN56" s="51">
        <f t="shared" ca="1" si="29"/>
        <v>0</v>
      </c>
      <c r="BO56" s="51">
        <f t="shared" ca="1" si="29"/>
        <v>0</v>
      </c>
      <c r="BP56" s="51">
        <f t="shared" ca="1" si="29"/>
        <v>0</v>
      </c>
      <c r="BQ56" s="51">
        <f t="shared" ca="1" si="29"/>
        <v>0</v>
      </c>
      <c r="BR56" s="51">
        <f t="shared" ca="1" si="29"/>
        <v>0</v>
      </c>
      <c r="BS56" s="51">
        <f t="shared" ca="1" si="29"/>
        <v>0</v>
      </c>
      <c r="BT56" s="51">
        <f t="shared" ca="1" si="29"/>
        <v>0</v>
      </c>
      <c r="BU56" s="51">
        <f t="shared" ca="1" si="29"/>
        <v>0</v>
      </c>
      <c r="BV56" s="51">
        <f t="shared" ca="1" si="29"/>
        <v>0</v>
      </c>
      <c r="BW56" s="51">
        <f t="shared" ca="1" si="29"/>
        <v>0</v>
      </c>
    </row>
    <row r="57" spans="1:75" x14ac:dyDescent="0.3">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2"/>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row>
    <row r="58" spans="1:75" x14ac:dyDescent="0.3">
      <c r="A58" s="4" t="s">
        <v>72</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2"/>
      <c r="AG58" s="69">
        <f ca="1">SUMPRODUCT(AG59:AG62,AG6:AG9)/AG5</f>
        <v>8.0799751173182527E-2</v>
      </c>
      <c r="AH58" s="69">
        <f t="shared" ref="AH58:BW58" ca="1" si="30">SUMPRODUCT(AH59:AH62,AH6:AH9)/AH5</f>
        <v>7.5252414478072391E-2</v>
      </c>
      <c r="AI58" s="69">
        <f t="shared" ca="1" si="30"/>
        <v>7.0645717590047216E-2</v>
      </c>
      <c r="AJ58" s="69">
        <f t="shared" ca="1" si="30"/>
        <v>6.7182765323491406E-2</v>
      </c>
      <c r="AK58" s="69">
        <f t="shared" ca="1" si="30"/>
        <v>6.5715999581897E-2</v>
      </c>
      <c r="AL58" s="69">
        <f t="shared" ca="1" si="30"/>
        <v>6.3181015906489058E-2</v>
      </c>
      <c r="AM58" s="69">
        <f t="shared" ca="1" si="30"/>
        <v>6.2196804579323257E-2</v>
      </c>
      <c r="AN58" s="69">
        <f t="shared" ca="1" si="30"/>
        <v>6.2886600082511832E-2</v>
      </c>
      <c r="AO58" s="69">
        <f t="shared" ca="1" si="30"/>
        <v>6.3921326218363064E-2</v>
      </c>
      <c r="AP58" s="69">
        <f t="shared" ca="1" si="30"/>
        <v>8.3861699515831112E-2</v>
      </c>
      <c r="AQ58" s="69">
        <f t="shared" ca="1" si="30"/>
        <v>8.3885422325164244E-2</v>
      </c>
      <c r="AR58" s="69">
        <f t="shared" ca="1" si="30"/>
        <v>8.5444541103693164E-2</v>
      </c>
      <c r="AS58" s="69">
        <f t="shared" ca="1" si="30"/>
        <v>8.5506706395797646E-2</v>
      </c>
      <c r="AT58" s="69">
        <f t="shared" ca="1" si="30"/>
        <v>8.5575964646267447E-2</v>
      </c>
      <c r="AU58" s="69">
        <f t="shared" ca="1" si="30"/>
        <v>8.5642200906578619E-2</v>
      </c>
      <c r="AV58" s="69">
        <f t="shared" ca="1" si="30"/>
        <v>8.6126478523207803E-2</v>
      </c>
      <c r="AW58" s="69">
        <f t="shared" ca="1" si="30"/>
        <v>8.6328376138738699E-2</v>
      </c>
      <c r="AX58" s="69">
        <f t="shared" ca="1" si="30"/>
        <v>8.6325262476328851E-2</v>
      </c>
      <c r="AY58" s="69">
        <f t="shared" ca="1" si="30"/>
        <v>8.6331495528463559E-2</v>
      </c>
      <c r="AZ58" s="69">
        <f t="shared" ca="1" si="30"/>
        <v>8.6335553029435269E-2</v>
      </c>
      <c r="BA58" s="69">
        <f t="shared" ca="1" si="30"/>
        <v>8.6347199803266272E-2</v>
      </c>
      <c r="BB58" s="69">
        <f t="shared" ca="1" si="30"/>
        <v>8.6359618052122555E-2</v>
      </c>
      <c r="BC58" s="69">
        <f t="shared" ca="1" si="30"/>
        <v>8.6370866040618027E-2</v>
      </c>
      <c r="BD58" s="69">
        <f t="shared" ca="1" si="30"/>
        <v>8.6375456137106524E-2</v>
      </c>
      <c r="BE58" s="69">
        <f t="shared" ca="1" si="30"/>
        <v>8.6399952723578685E-2</v>
      </c>
      <c r="BF58" s="69">
        <f t="shared" ca="1" si="30"/>
        <v>8.6411369064822108E-2</v>
      </c>
      <c r="BG58" s="69">
        <f t="shared" ca="1" si="30"/>
        <v>8.6416242864443313E-2</v>
      </c>
      <c r="BH58" s="69">
        <f t="shared" ca="1" si="30"/>
        <v>8.6411281369354789E-2</v>
      </c>
      <c r="BI58" s="69">
        <f t="shared" ca="1" si="30"/>
        <v>8.6506084238310313E-2</v>
      </c>
      <c r="BJ58" s="69" t="e">
        <f ca="1">SUMPRODUCT(BJ59:BJ62,BJ6:BJ9)/BJ5</f>
        <v>#DIV/0!</v>
      </c>
      <c r="BK58" s="69" t="e">
        <f t="shared" ca="1" si="30"/>
        <v>#DIV/0!</v>
      </c>
      <c r="BL58" s="69" t="e">
        <f t="shared" ca="1" si="30"/>
        <v>#DIV/0!</v>
      </c>
      <c r="BM58" s="69" t="e">
        <f t="shared" ca="1" si="30"/>
        <v>#DIV/0!</v>
      </c>
      <c r="BN58" s="69" t="e">
        <f t="shared" ca="1" si="30"/>
        <v>#DIV/0!</v>
      </c>
      <c r="BO58" s="69" t="e">
        <f t="shared" ca="1" si="30"/>
        <v>#DIV/0!</v>
      </c>
      <c r="BP58" s="69" t="e">
        <f t="shared" ca="1" si="30"/>
        <v>#DIV/0!</v>
      </c>
      <c r="BQ58" s="69" t="e">
        <f t="shared" ca="1" si="30"/>
        <v>#DIV/0!</v>
      </c>
      <c r="BR58" s="69" t="e">
        <f t="shared" ca="1" si="30"/>
        <v>#DIV/0!</v>
      </c>
      <c r="BS58" s="69" t="e">
        <f t="shared" ca="1" si="30"/>
        <v>#DIV/0!</v>
      </c>
      <c r="BT58" s="69" t="e">
        <f t="shared" ca="1" si="30"/>
        <v>#DIV/0!</v>
      </c>
      <c r="BU58" s="69" t="e">
        <f t="shared" ca="1" si="30"/>
        <v>#DIV/0!</v>
      </c>
      <c r="BV58" s="69" t="e">
        <f t="shared" ca="1" si="30"/>
        <v>#DIV/0!</v>
      </c>
      <c r="BW58" s="69" t="e">
        <f t="shared" ca="1" si="30"/>
        <v>#DIV/0!</v>
      </c>
    </row>
    <row r="59" spans="1:75" x14ac:dyDescent="0.3">
      <c r="A59" s="5" t="s">
        <v>66</v>
      </c>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2"/>
      <c r="AG59" s="202">
        <f t="shared" ref="AG59:BW59" ca="1" si="31">SUMIFS(INDIRECT("'"&amp;$A59&amp;$B$11&amp;"'!"&amp;"$AE:$AE"),INDIRECT("'"&amp;$A59&amp;$B$11&amp;"'!"&amp;"$A:$A"),AG$1)</f>
        <v>8.5000312767301828E-2</v>
      </c>
      <c r="AH59" s="202">
        <f t="shared" ca="1" si="31"/>
        <v>8.5000022922951377E-2</v>
      </c>
      <c r="AI59" s="202">
        <f t="shared" ca="1" si="31"/>
        <v>8.499951643764353E-2</v>
      </c>
      <c r="AJ59" s="202">
        <f t="shared" ca="1" si="31"/>
        <v>8.5000372908604238E-2</v>
      </c>
      <c r="AK59" s="202">
        <f t="shared" ca="1" si="31"/>
        <v>8.4999781638673749E-2</v>
      </c>
      <c r="AL59" s="202">
        <f t="shared" ca="1" si="31"/>
        <v>8.5000301337075659E-2</v>
      </c>
      <c r="AM59" s="202">
        <f t="shared" ca="1" si="31"/>
        <v>8.4999710042544668E-2</v>
      </c>
      <c r="AN59" s="202">
        <f t="shared" ca="1" si="31"/>
        <v>8.499951900438972E-2</v>
      </c>
      <c r="AO59" s="202">
        <f t="shared" ca="1" si="31"/>
        <v>8.5000273465498724E-2</v>
      </c>
      <c r="AP59" s="202">
        <f t="shared" ca="1" si="31"/>
        <v>8.499984293029246E-2</v>
      </c>
      <c r="AQ59" s="202">
        <f t="shared" ca="1" si="31"/>
        <v>8.500056823096977E-2</v>
      </c>
      <c r="AR59" s="202">
        <f t="shared" ca="1" si="31"/>
        <v>8.500063023352504E-2</v>
      </c>
      <c r="AS59" s="202">
        <f t="shared" ca="1" si="31"/>
        <v>8.4998697397690046E-2</v>
      </c>
      <c r="AT59" s="202">
        <f t="shared" ca="1" si="31"/>
        <v>8.5001639263854359E-2</v>
      </c>
      <c r="AU59" s="202">
        <f t="shared" ca="1" si="31"/>
        <v>8.4998069940705093E-2</v>
      </c>
      <c r="AV59" s="202">
        <f t="shared" ca="1" si="31"/>
        <v>8.6258805934904953E-2</v>
      </c>
      <c r="AW59" s="202">
        <f t="shared" ca="1" si="31"/>
        <v>8.6246038020497129E-2</v>
      </c>
      <c r="AX59" s="202">
        <f t="shared" ca="1" si="31"/>
        <v>8.6236294266560223E-2</v>
      </c>
      <c r="AY59" s="202">
        <f t="shared" ca="1" si="31"/>
        <v>8.6236212425555903E-2</v>
      </c>
      <c r="AZ59" s="202">
        <f t="shared" ca="1" si="31"/>
        <v>8.6239689517857057E-2</v>
      </c>
      <c r="BA59" s="202">
        <f t="shared" ca="1" si="31"/>
        <v>8.6245128167669299E-2</v>
      </c>
      <c r="BB59" s="202">
        <f t="shared" ca="1" si="31"/>
        <v>8.6250329199729775E-2</v>
      </c>
      <c r="BC59" s="202">
        <f t="shared" ca="1" si="31"/>
        <v>8.6247590331669219E-2</v>
      </c>
      <c r="BD59" s="202">
        <f t="shared" ca="1" si="31"/>
        <v>8.624949492942259E-2</v>
      </c>
      <c r="BE59" s="202">
        <f t="shared" ca="1" si="31"/>
        <v>8.6262680493938801E-2</v>
      </c>
      <c r="BF59" s="202">
        <f t="shared" ca="1" si="31"/>
        <v>8.6269110605109278E-2</v>
      </c>
      <c r="BG59" s="202">
        <f t="shared" ca="1" si="31"/>
        <v>8.6284631205387749E-2</v>
      </c>
      <c r="BH59" s="202">
        <f t="shared" ca="1" si="31"/>
        <v>8.6296289937679196E-2</v>
      </c>
      <c r="BI59" s="202">
        <f t="shared" ca="1" si="31"/>
        <v>8.647927392656185E-2</v>
      </c>
      <c r="BJ59" s="202">
        <f t="shared" ca="1" si="31"/>
        <v>0</v>
      </c>
      <c r="BK59" s="202">
        <f t="shared" ca="1" si="31"/>
        <v>0</v>
      </c>
      <c r="BL59" s="202">
        <f t="shared" ca="1" si="31"/>
        <v>0</v>
      </c>
      <c r="BM59" s="202">
        <f t="shared" ca="1" si="31"/>
        <v>0</v>
      </c>
      <c r="BN59" s="202">
        <f t="shared" ca="1" si="31"/>
        <v>0</v>
      </c>
      <c r="BO59" s="202">
        <f t="shared" ca="1" si="31"/>
        <v>0</v>
      </c>
      <c r="BP59" s="202">
        <f t="shared" ca="1" si="31"/>
        <v>0</v>
      </c>
      <c r="BQ59" s="202">
        <f t="shared" ca="1" si="31"/>
        <v>0</v>
      </c>
      <c r="BR59" s="202">
        <f t="shared" ca="1" si="31"/>
        <v>0</v>
      </c>
      <c r="BS59" s="202">
        <f t="shared" ca="1" si="31"/>
        <v>0</v>
      </c>
      <c r="BT59" s="202">
        <f t="shared" ca="1" si="31"/>
        <v>0</v>
      </c>
      <c r="BU59" s="202">
        <f t="shared" ca="1" si="31"/>
        <v>0</v>
      </c>
      <c r="BV59" s="202">
        <f t="shared" ca="1" si="31"/>
        <v>0</v>
      </c>
      <c r="BW59" s="202">
        <f t="shared" ca="1" si="31"/>
        <v>0</v>
      </c>
    </row>
    <row r="60" spans="1:75" x14ac:dyDescent="0.3">
      <c r="A60" s="5" t="s">
        <v>67</v>
      </c>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2"/>
      <c r="AG60" s="203"/>
      <c r="AH60" s="203"/>
      <c r="AI60" s="203"/>
      <c r="AJ60" s="203"/>
      <c r="AK60" s="203"/>
      <c r="AL60" s="203"/>
      <c r="AM60" s="203"/>
      <c r="AN60" s="203"/>
      <c r="AO60" s="203"/>
      <c r="AP60" s="203"/>
      <c r="AQ60" s="203"/>
      <c r="AR60" s="203"/>
      <c r="AS60" s="203"/>
      <c r="AT60" s="203"/>
      <c r="AU60" s="203"/>
      <c r="AV60" s="203"/>
      <c r="AW60" s="203"/>
      <c r="AX60" s="203"/>
      <c r="AY60" s="203"/>
      <c r="AZ60" s="203"/>
      <c r="BA60" s="203"/>
      <c r="BB60" s="203"/>
      <c r="BC60" s="203"/>
      <c r="BD60" s="203"/>
      <c r="BE60" s="203"/>
      <c r="BF60" s="203"/>
      <c r="BG60" s="203"/>
      <c r="BH60" s="203"/>
      <c r="BI60" s="203"/>
      <c r="BJ60" s="203"/>
      <c r="BK60" s="203"/>
      <c r="BL60" s="203"/>
      <c r="BM60" s="203"/>
      <c r="BN60" s="203"/>
      <c r="BO60" s="203"/>
      <c r="BP60" s="203"/>
      <c r="BQ60" s="203"/>
      <c r="BR60" s="203"/>
      <c r="BS60" s="203"/>
      <c r="BT60" s="203"/>
      <c r="BU60" s="203"/>
      <c r="BV60" s="203"/>
      <c r="BW60" s="203"/>
    </row>
    <row r="61" spans="1:75" x14ac:dyDescent="0.3">
      <c r="A61" s="5" t="s">
        <v>69</v>
      </c>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2"/>
      <c r="AG61" s="202">
        <f ca="1">SUMIFS(INDIRECT("'"&amp;$A61&amp;$B$11&amp;"'!"&amp;"$Ag:$Ag"),INDIRECT("'"&amp;$A61&amp;$B$11&amp;"'!"&amp;"$A:$A"),AG$1)</f>
        <v>6.625956631711917E-2</v>
      </c>
      <c r="AH61" s="202">
        <f ca="1">SUMIFS(INDIRECT("'"&amp;$A61&amp;$B$11&amp;"'!"&amp;"$Ag:$Ag"),INDIRECT("'"&amp;$A61&amp;$B$11&amp;"'!"&amp;"$A:$A"),AH$1)</f>
        <v>6.2084263033542794E-2</v>
      </c>
      <c r="AI61" s="202">
        <f ca="1">SUMIFS(INDIRECT("'"&amp;$A61&amp;$B$11&amp;"'!"&amp;"$Ag:$Ag"),INDIRECT("'"&amp;$A61&amp;$B$11&amp;"'!"&amp;"$A:$A"),AI$1)</f>
        <v>6.0934430991703599E-2</v>
      </c>
      <c r="AJ61" s="202">
        <f ca="1">SUMIFS(INDIRECT("'"&amp;$A61&amp;$B$11&amp;"'!"&amp;"$Ag:$Ag"),INDIRECT("'"&amp;$A61&amp;$B$11&amp;"'!"&amp;"$A:$A"),AJ$1)</f>
        <v>6.031702425757534E-2</v>
      </c>
      <c r="AK61" s="202">
        <f ca="1">SUMIFS(INDIRECT("'"&amp;$A61&amp;$B$11&amp;"'!"&amp;"$Ag:$Ag"),INDIRECT("'"&amp;$A61&amp;$B$11&amp;"'!"&amp;"$A:$A"),AK$1)</f>
        <v>6.1306594488188974E-2</v>
      </c>
      <c r="AL61" s="202">
        <f ca="1">SUMIFS(INDIRECT("'"&amp;$A61&amp;$B$11&amp;"'!"&amp;"$Ag:$Ag"),INDIRECT("'"&amp;$A61&amp;$B$11&amp;"'!"&amp;"$A:$A"),AL$1)</f>
        <v>6.2582094711372271E-2</v>
      </c>
      <c r="AM61" s="202">
        <f ca="1">SUMIFS(INDIRECT("'"&amp;$A61&amp;$B$11&amp;"'!"&amp;"$Ag:$Ag"),INDIRECT("'"&amp;$A61&amp;$B$11&amp;"'!"&amp;"$A:$A"),AM$1)</f>
        <v>6.3815965012006814E-2</v>
      </c>
      <c r="AN61" s="202">
        <f ca="1">SUMIFS(INDIRECT("'"&amp;$A61&amp;$B$11&amp;"'!"&amp;"$Ag:$Ag"),INDIRECT("'"&amp;$A61&amp;$B$11&amp;"'!"&amp;"$A:$A"),AN$1)</f>
        <v>6.5242272293413145E-2</v>
      </c>
      <c r="AO61" s="202">
        <f ca="1">SUMIFS(INDIRECT("'"&amp;$A61&amp;$B$11&amp;"'!"&amp;"$Ag:$Ag"),INDIRECT("'"&amp;$A61&amp;$B$11&amp;"'!"&amp;"$A:$A"),AO$1)</f>
        <v>6.6740005572475808E-2</v>
      </c>
      <c r="AP61" s="202">
        <f ca="1">SUMIFS(INDIRECT("'"&amp;$A61&amp;$B$11&amp;"'!"&amp;"$Ag:$Ag"),INDIRECT("'"&amp;$A61&amp;$B$11&amp;"'!"&amp;"$A:$A"),AP$1)</f>
        <v>6.8578908123360496E-2</v>
      </c>
      <c r="AQ61" s="202">
        <f ca="1">SUMIFS(INDIRECT("'"&amp;$A61&amp;$B$11&amp;"'!"&amp;"$Ag:$Ag"),INDIRECT("'"&amp;$A61&amp;$B$11&amp;"'!"&amp;"$A:$A"),AQ$1)</f>
        <v>6.8846436005558773E-2</v>
      </c>
      <c r="AR61" s="202">
        <f ca="1">SUMIFS(INDIRECT("'"&amp;$A61&amp;$B$11&amp;"'!"&amp;"$Ag:$Ag"),INDIRECT("'"&amp;$A61&amp;$B$11&amp;"'!"&amp;"$A:$A"),AR$1)</f>
        <v>8.4998178988842168E-2</v>
      </c>
      <c r="AS61" s="202">
        <f ca="1">SUMIFS(INDIRECT("'"&amp;$A61&amp;$B$11&amp;"'!"&amp;"$Ag:$Ag"),INDIRECT("'"&amp;$A61&amp;$B$11&amp;"'!"&amp;"$A:$A"),AS$1)</f>
        <v>8.5000439354441876E-2</v>
      </c>
      <c r="AT61" s="202">
        <f ca="1">SUMIFS(INDIRECT("'"&amp;$A61&amp;$B$11&amp;"'!"&amp;"$Ag:$Ag"),INDIRECT("'"&amp;$A61&amp;$B$11&amp;"'!"&amp;"$A:$A"),AT$1)</f>
        <v>8.5000162617491132E-2</v>
      </c>
      <c r="AU61" s="202">
        <f ca="1">SUMIFS(INDIRECT("'"&amp;$A61&amp;$B$11&amp;"'!"&amp;"$Ag:$Ag"),INDIRECT("'"&amp;$A61&amp;$B$11&amp;"'!"&amp;"$A:$A"),AU$1)</f>
        <v>8.5000632579659854E-2</v>
      </c>
      <c r="AV61" s="202">
        <f ca="1">SUMIFS(INDIRECT("'"&amp;$A61&amp;$B$11&amp;"'!"&amp;"$Ag:$Ag"),INDIRECT("'"&amp;$A61&amp;$B$11&amp;"'!"&amp;"$A:$A"),AV$1)</f>
        <v>8.5000998601957256E-2</v>
      </c>
      <c r="AW61" s="202">
        <f ca="1">SUMIFS(INDIRECT("'"&amp;$A61&amp;$B$11&amp;"'!"&amp;"$Ag:$Ag"),INDIRECT("'"&amp;$A61&amp;$B$11&amp;"'!"&amp;"$A:$A"),AW$1)</f>
        <v>0</v>
      </c>
      <c r="AX61" s="202">
        <f ca="1">SUMIFS(INDIRECT("'"&amp;$A61&amp;$B$11&amp;"'!"&amp;"$Ag:$Ag"),INDIRECT("'"&amp;$A61&amp;$B$11&amp;"'!"&amp;"$A:$A"),AX$1)</f>
        <v>0</v>
      </c>
      <c r="AY61" s="202">
        <f ca="1">SUMIFS(INDIRECT("'"&amp;$A61&amp;$B$11&amp;"'!"&amp;"$Ag:$Ag"),INDIRECT("'"&amp;$A61&amp;$B$11&amp;"'!"&amp;"$A:$A"),AY$1)</f>
        <v>0</v>
      </c>
      <c r="AZ61" s="202">
        <f ca="1">SUMIFS(INDIRECT("'"&amp;$A61&amp;$B$11&amp;"'!"&amp;"$Ag:$Ag"),INDIRECT("'"&amp;$A61&amp;$B$11&amp;"'!"&amp;"$A:$A"),AZ$1)</f>
        <v>0</v>
      </c>
      <c r="BA61" s="202">
        <f ca="1">SUMIFS(INDIRECT("'"&amp;$A61&amp;$B$11&amp;"'!"&amp;"$Ag:$Ag"),INDIRECT("'"&amp;$A61&amp;$B$11&amp;"'!"&amp;"$A:$A"),BA$1)</f>
        <v>0</v>
      </c>
      <c r="BB61" s="202">
        <f ca="1">SUMIFS(INDIRECT("'"&amp;$A61&amp;$B$11&amp;"'!"&amp;"$Ag:$Ag"),INDIRECT("'"&amp;$A61&amp;$B$11&amp;"'!"&amp;"$A:$A"),BB$1)</f>
        <v>0</v>
      </c>
      <c r="BC61" s="202">
        <f ca="1">SUMIFS(INDIRECT("'"&amp;$A61&amp;$B$11&amp;"'!"&amp;"$Ag:$Ag"),INDIRECT("'"&amp;$A61&amp;$B$11&amp;"'!"&amp;"$A:$A"),BC$1)</f>
        <v>0</v>
      </c>
      <c r="BD61" s="202">
        <f ca="1">SUMIFS(INDIRECT("'"&amp;$A61&amp;$B$11&amp;"'!"&amp;"$Ag:$Ag"),INDIRECT("'"&amp;$A61&amp;$B$11&amp;"'!"&amp;"$A:$A"),BD$1)</f>
        <v>0</v>
      </c>
      <c r="BE61" s="202">
        <f ca="1">SUMIFS(INDIRECT("'"&amp;$A61&amp;$B$11&amp;"'!"&amp;"$Ag:$Ag"),INDIRECT("'"&amp;$A61&amp;$B$11&amp;"'!"&amp;"$A:$A"),BE$1)</f>
        <v>0</v>
      </c>
      <c r="BF61" s="202">
        <f ca="1">SUMIFS(INDIRECT("'"&amp;$A61&amp;$B$11&amp;"'!"&amp;"$Ag:$Ag"),INDIRECT("'"&amp;$A61&amp;$B$11&amp;"'!"&amp;"$A:$A"),BF$1)</f>
        <v>0</v>
      </c>
      <c r="BG61" s="202">
        <f ca="1">SUMIFS(INDIRECT("'"&amp;$A61&amp;$B$11&amp;"'!"&amp;"$Ag:$Ag"),INDIRECT("'"&amp;$A61&amp;$B$11&amp;"'!"&amp;"$A:$A"),BG$1)</f>
        <v>0</v>
      </c>
      <c r="BH61" s="202">
        <f ca="1">SUMIFS(INDIRECT("'"&amp;$A61&amp;$B$11&amp;"'!"&amp;"$Ag:$Ag"),INDIRECT("'"&amp;$A61&amp;$B$11&amp;"'!"&amp;"$A:$A"),BH$1)</f>
        <v>0</v>
      </c>
      <c r="BI61" s="202">
        <f ca="1">SUMIFS(INDIRECT("'"&amp;$A61&amp;$B$11&amp;"'!"&amp;"$Ag:$Ag"),INDIRECT("'"&amp;$A61&amp;$B$11&amp;"'!"&amp;"$A:$A"),BI$1)</f>
        <v>0</v>
      </c>
      <c r="BJ61" s="202">
        <f ca="1">SUMIFS(INDIRECT("'"&amp;$A61&amp;$B$11&amp;"'!"&amp;"$Ag:$Ag"),INDIRECT("'"&amp;$A61&amp;$B$11&amp;"'!"&amp;"$A:$A"),BJ$1)</f>
        <v>0</v>
      </c>
      <c r="BK61" s="202">
        <f ca="1">SUMIFS(INDIRECT("'"&amp;$A61&amp;$B$11&amp;"'!"&amp;"$Ag:$Ag"),INDIRECT("'"&amp;$A61&amp;$B$11&amp;"'!"&amp;"$A:$A"),BK$1)</f>
        <v>0</v>
      </c>
      <c r="BL61" s="202">
        <f ca="1">SUMIFS(INDIRECT("'"&amp;$A61&amp;$B$11&amp;"'!"&amp;"$Ag:$Ag"),INDIRECT("'"&amp;$A61&amp;$B$11&amp;"'!"&amp;"$A:$A"),BL$1)</f>
        <v>0</v>
      </c>
      <c r="BM61" s="202">
        <f ca="1">SUMIFS(INDIRECT("'"&amp;$A61&amp;$B$11&amp;"'!"&amp;"$Ag:$Ag"),INDIRECT("'"&amp;$A61&amp;$B$11&amp;"'!"&amp;"$A:$A"),BM$1)</f>
        <v>0</v>
      </c>
      <c r="BN61" s="202">
        <f ca="1">SUMIFS(INDIRECT("'"&amp;$A61&amp;$B$11&amp;"'!"&amp;"$Ag:$Ag"),INDIRECT("'"&amp;$A61&amp;$B$11&amp;"'!"&amp;"$A:$A"),BN$1)</f>
        <v>0</v>
      </c>
      <c r="BO61" s="202">
        <f ca="1">SUMIFS(INDIRECT("'"&amp;$A61&amp;$B$11&amp;"'!"&amp;"$Ag:$Ag"),INDIRECT("'"&amp;$A61&amp;$B$11&amp;"'!"&amp;"$A:$A"),BO$1)</f>
        <v>0</v>
      </c>
      <c r="BP61" s="202">
        <f ca="1">SUMIFS(INDIRECT("'"&amp;$A61&amp;$B$11&amp;"'!"&amp;"$Ag:$Ag"),INDIRECT("'"&amp;$A61&amp;$B$11&amp;"'!"&amp;"$A:$A"),BP$1)</f>
        <v>0</v>
      </c>
      <c r="BQ61" s="202">
        <f ca="1">SUMIFS(INDIRECT("'"&amp;$A61&amp;$B$11&amp;"'!"&amp;"$Ag:$Ag"),INDIRECT("'"&amp;$A61&amp;$B$11&amp;"'!"&amp;"$A:$A"),BQ$1)</f>
        <v>0</v>
      </c>
      <c r="BR61" s="202">
        <f ca="1">SUMIFS(INDIRECT("'"&amp;$A61&amp;$B$11&amp;"'!"&amp;"$Ag:$Ag"),INDIRECT("'"&amp;$A61&amp;$B$11&amp;"'!"&amp;"$A:$A"),BR$1)</f>
        <v>0</v>
      </c>
      <c r="BS61" s="202">
        <f ca="1">SUMIFS(INDIRECT("'"&amp;$A61&amp;$B$11&amp;"'!"&amp;"$Ag:$Ag"),INDIRECT("'"&amp;$A61&amp;$B$11&amp;"'!"&amp;"$A:$A"),BS$1)</f>
        <v>0</v>
      </c>
      <c r="BT61" s="202">
        <f ca="1">SUMIFS(INDIRECT("'"&amp;$A61&amp;$B$11&amp;"'!"&amp;"$Ag:$Ag"),INDIRECT("'"&amp;$A61&amp;$B$11&amp;"'!"&amp;"$A:$A"),BT$1)</f>
        <v>0</v>
      </c>
      <c r="BU61" s="202">
        <f ca="1">SUMIFS(INDIRECT("'"&amp;$A61&amp;$B$11&amp;"'!"&amp;"$Ag:$Ag"),INDIRECT("'"&amp;$A61&amp;$B$11&amp;"'!"&amp;"$A:$A"),BU$1)</f>
        <v>0</v>
      </c>
      <c r="BV61" s="202">
        <f ca="1">SUMIFS(INDIRECT("'"&amp;$A61&amp;$B$11&amp;"'!"&amp;"$Ag:$Ag"),INDIRECT("'"&amp;$A61&amp;$B$11&amp;"'!"&amp;"$A:$A"),BV$1)</f>
        <v>0</v>
      </c>
      <c r="BW61" s="202">
        <f ca="1">SUMIFS(INDIRECT("'"&amp;$A61&amp;$B$11&amp;"'!"&amp;"$Ag:$Ag"),INDIRECT("'"&amp;$A61&amp;$B$11&amp;"'!"&amp;"$A:$A"),BW$1)</f>
        <v>0</v>
      </c>
    </row>
    <row r="62" spans="1:75" x14ac:dyDescent="0.3">
      <c r="A62" s="5" t="s">
        <v>68</v>
      </c>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2"/>
      <c r="AG62" s="202">
        <f ca="1">SUMIFS(INDIRECT("'"&amp;$A62&amp;$B$11&amp;"'!"&amp;"$Ag:$Ag"),INDIRECT("'"&amp;$A62&amp;$B$11&amp;"'!"&amp;"$A:$A"),AG$1)</f>
        <v>7.9637190186256174E-2</v>
      </c>
      <c r="AH62" s="202">
        <f ca="1">SUMIFS(INDIRECT("'"&amp;$A62&amp;$B$11&amp;"'!"&amp;"$Ag:$Ag"),INDIRECT("'"&amp;$A62&amp;$B$11&amp;"'!"&amp;"$A:$A"),AH$1)</f>
        <v>6.5081949530799765E-2</v>
      </c>
      <c r="AI62" s="202">
        <f ca="1">SUMIFS(INDIRECT("'"&amp;$A62&amp;$B$11&amp;"'!"&amp;"$Ag:$Ag"),INDIRECT("'"&amp;$A62&amp;$B$11&amp;"'!"&amp;"$A:$A"),AI$1)</f>
        <v>5.8361235657819026E-2</v>
      </c>
      <c r="AJ62" s="202">
        <f ca="1">SUMIFS(INDIRECT("'"&amp;$A62&amp;$B$11&amp;"'!"&amp;"$Ag:$Ag"),INDIRECT("'"&amp;$A62&amp;$B$11&amp;"'!"&amp;"$A:$A"),AJ$1)</f>
        <v>5.4767034207534718E-2</v>
      </c>
      <c r="AK62" s="202">
        <f ca="1">SUMIFS(INDIRECT("'"&amp;$A62&amp;$B$11&amp;"'!"&amp;"$Ag:$Ag"),INDIRECT("'"&amp;$A62&amp;$B$11&amp;"'!"&amp;"$A:$A"),AK$1)</f>
        <v>5.346737323201263E-2</v>
      </c>
      <c r="AL62" s="202">
        <f ca="1">SUMIFS(INDIRECT("'"&amp;$A62&amp;$B$11&amp;"'!"&amp;"$Ag:$Ag"),INDIRECT("'"&amp;$A62&amp;$B$11&amp;"'!"&amp;"$A:$A"),AL$1)</f>
        <v>5.1772325224190549E-2</v>
      </c>
      <c r="AM62" s="202">
        <f ca="1">SUMIFS(INDIRECT("'"&amp;$A62&amp;$B$11&amp;"'!"&amp;"$Ag:$Ag"),INDIRECT("'"&amp;$A62&amp;$B$11&amp;"'!"&amp;"$A:$A"),AM$1)</f>
        <v>5.1678799763415266E-2</v>
      </c>
      <c r="AN62" s="202">
        <f ca="1">SUMIFS(INDIRECT("'"&amp;$A62&amp;$B$11&amp;"'!"&amp;"$Ag:$Ag"),INDIRECT("'"&amp;$A62&amp;$B$11&amp;"'!"&amp;"$A:$A"),AN$1)</f>
        <v>5.2737294651946251E-2</v>
      </c>
      <c r="AO62" s="202">
        <f ca="1">SUMIFS(INDIRECT("'"&amp;$A62&amp;$B$11&amp;"'!"&amp;"$Ag:$Ag"),INDIRECT("'"&amp;$A62&amp;$B$11&amp;"'!"&amp;"$A:$A"),AO$1)</f>
        <v>5.3866207848537684E-2</v>
      </c>
      <c r="AP62" s="202">
        <f ca="1">SUMIFS(INDIRECT("'"&amp;$A62&amp;$B$11&amp;"'!"&amp;"$Ag:$Ag"),INDIRECT("'"&amp;$A62&amp;$B$11&amp;"'!"&amp;"$A:$A"),AP$1)</f>
        <v>8.5593937652945068E-2</v>
      </c>
      <c r="AQ62" s="202">
        <f ca="1">SUMIFS(INDIRECT("'"&amp;$A62&amp;$B$11&amp;"'!"&amp;"$Ag:$Ag"),INDIRECT("'"&amp;$A62&amp;$B$11&amp;"'!"&amp;"$A:$A"),AQ$1)</f>
        <v>8.5672665091395372E-2</v>
      </c>
      <c r="AR62" s="202">
        <f ca="1">SUMIFS(INDIRECT("'"&amp;$A62&amp;$B$11&amp;"'!"&amp;"$Ag:$Ag"),INDIRECT("'"&amp;$A62&amp;$B$11&amp;"'!"&amp;"$A:$A"),AR$1)</f>
        <v>8.5770932248536061E-2</v>
      </c>
      <c r="AS62" s="202">
        <f ca="1">SUMIFS(INDIRECT("'"&amp;$A62&amp;$B$11&amp;"'!"&amp;"$Ag:$Ag"),INDIRECT("'"&amp;$A62&amp;$B$11&amp;"'!"&amp;"$A:$A"),AS$1)</f>
        <v>8.5880651272019534E-2</v>
      </c>
      <c r="AT62" s="202">
        <f ca="1">SUMIFS(INDIRECT("'"&amp;$A62&amp;$B$11&amp;"'!"&amp;"$Ag:$Ag"),INDIRECT("'"&amp;$A62&amp;$B$11&amp;"'!"&amp;"$A:$A"),AT$1)</f>
        <v>8.6009099418769178E-2</v>
      </c>
      <c r="AU62" s="202">
        <f ca="1">SUMIFS(INDIRECT("'"&amp;$A62&amp;$B$11&amp;"'!"&amp;"$Ag:$Ag"),INDIRECT("'"&amp;$A62&amp;$B$11&amp;"'!"&amp;"$A:$A"),AU$1)</f>
        <v>8.613739079036066E-2</v>
      </c>
      <c r="AV62" s="202">
        <f ca="1">SUMIFS(INDIRECT("'"&amp;$A62&amp;$B$11&amp;"'!"&amp;"$Ag:$Ag"),INDIRECT("'"&amp;$A62&amp;$B$11&amp;"'!"&amp;"$A:$A"),AV$1)</f>
        <v>8.6273035682401258E-2</v>
      </c>
      <c r="AW62" s="202">
        <f ca="1">SUMIFS(INDIRECT("'"&amp;$A62&amp;$B$11&amp;"'!"&amp;"$Ag:$Ag"),INDIRECT("'"&amp;$A62&amp;$B$11&amp;"'!"&amp;"$A:$A"),AW$1)</f>
        <v>8.63774562424071E-2</v>
      </c>
      <c r="AX62" s="202">
        <f ca="1">SUMIFS(INDIRECT("'"&amp;$A62&amp;$B$11&amp;"'!"&amp;"$Ag:$Ag"),INDIRECT("'"&amp;$A62&amp;$B$11&amp;"'!"&amp;"$A:$A"),AX$1)</f>
        <v>8.6381039743155127E-2</v>
      </c>
      <c r="AY62" s="202">
        <f ca="1">SUMIFS(INDIRECT("'"&amp;$A62&amp;$B$11&amp;"'!"&amp;"$Ag:$Ag"),INDIRECT("'"&amp;$A62&amp;$B$11&amp;"'!"&amp;"$A:$A"),AY$1)</f>
        <v>8.6394855887669861E-2</v>
      </c>
      <c r="AZ62" s="202">
        <f ca="1">SUMIFS(INDIRECT("'"&amp;$A62&amp;$B$11&amp;"'!"&amp;"$Ag:$Ag"),INDIRECT("'"&amp;$A62&amp;$B$11&amp;"'!"&amp;"$A:$A"),AZ$1)</f>
        <v>8.6404331339238041E-2</v>
      </c>
      <c r="BA62" s="202">
        <f ca="1">SUMIFS(INDIRECT("'"&amp;$A62&amp;$B$11&amp;"'!"&amp;"$Ag:$Ag"),INDIRECT("'"&amp;$A62&amp;$B$11&amp;"'!"&amp;"$A:$A"),BA$1)</f>
        <v>8.6425529552645985E-2</v>
      </c>
      <c r="BB62" s="202">
        <f ca="1">SUMIFS(INDIRECT("'"&amp;$A62&amp;$B$11&amp;"'!"&amp;"$Ag:$Ag"),INDIRECT("'"&amp;$A62&amp;$B$11&amp;"'!"&amp;"$A:$A"),BB$1)</f>
        <v>8.6450934214080261E-2</v>
      </c>
      <c r="BC62" s="202">
        <f ca="1">SUMIFS(INDIRECT("'"&amp;$A62&amp;$B$11&amp;"'!"&amp;"$Ag:$Ag"),INDIRECT("'"&amp;$A62&amp;$B$11&amp;"'!"&amp;"$A:$A"),BC$1)</f>
        <v>8.6478305818154688E-2</v>
      </c>
      <c r="BD62" s="202">
        <f ca="1">SUMIFS(INDIRECT("'"&amp;$A62&amp;$B$11&amp;"'!"&amp;"$Ag:$Ag"),INDIRECT("'"&amp;$A62&amp;$B$11&amp;"'!"&amp;"$A:$A"),BD$1)</f>
        <v>8.6488814931520594E-2</v>
      </c>
      <c r="BE62" s="202">
        <f ca="1">SUMIFS(INDIRECT("'"&amp;$A62&amp;$B$11&amp;"'!"&amp;"$Ag:$Ag"),INDIRECT("'"&amp;$A62&amp;$B$11&amp;"'!"&amp;"$A:$A"),BE$1)</f>
        <v>8.6527482223490937E-2</v>
      </c>
      <c r="BF62" s="202">
        <f ca="1">SUMIFS(INDIRECT("'"&amp;$A62&amp;$B$11&amp;"'!"&amp;"$Ag:$Ag"),INDIRECT("'"&amp;$A62&amp;$B$11&amp;"'!"&amp;"$A:$A"),BF$1)</f>
        <v>8.6561243043693864E-2</v>
      </c>
      <c r="BG62" s="202">
        <f ca="1">SUMIFS(INDIRECT("'"&amp;$A62&amp;$B$11&amp;"'!"&amp;"$Ag:$Ag"),INDIRECT("'"&amp;$A62&amp;$B$11&amp;"'!"&amp;"$A:$A"),BG$1)</f>
        <v>8.6563307493540048E-2</v>
      </c>
      <c r="BH62" s="202">
        <f ca="1">SUMIFS(INDIRECT("'"&amp;$A62&amp;$B$11&amp;"'!"&amp;"$Ag:$Ag"),INDIRECT("'"&amp;$A62&amp;$B$11&amp;"'!"&amp;"$A:$A"),BH$1)</f>
        <v>8.6542274842092023E-2</v>
      </c>
      <c r="BI62" s="202">
        <f ca="1">SUMIFS(INDIRECT("'"&amp;$A62&amp;$B$11&amp;"'!"&amp;"$Ag:$Ag"),INDIRECT("'"&amp;$A62&amp;$B$11&amp;"'!"&amp;"$A:$A"),BI$1)</f>
        <v>8.6542725567115814E-2</v>
      </c>
      <c r="BJ62" s="202">
        <f ca="1">SUMIFS(INDIRECT("'"&amp;$A62&amp;$B$11&amp;"'!"&amp;"$Ag:$Ag"),INDIRECT("'"&amp;$A62&amp;$B$11&amp;"'!"&amp;"$A:$A"),BJ$1)</f>
        <v>0</v>
      </c>
      <c r="BK62" s="202">
        <f ca="1">SUMIFS(INDIRECT("'"&amp;$A62&amp;$B$11&amp;"'!"&amp;"$Ag:$Ag"),INDIRECT("'"&amp;$A62&amp;$B$11&amp;"'!"&amp;"$A:$A"),BK$1)</f>
        <v>0</v>
      </c>
      <c r="BL62" s="202">
        <f ca="1">SUMIFS(INDIRECT("'"&amp;$A62&amp;$B$11&amp;"'!"&amp;"$Ag:$Ag"),INDIRECT("'"&amp;$A62&amp;$B$11&amp;"'!"&amp;"$A:$A"),BL$1)</f>
        <v>0</v>
      </c>
      <c r="BM62" s="202">
        <f ca="1">SUMIFS(INDIRECT("'"&amp;$A62&amp;$B$11&amp;"'!"&amp;"$Ag:$Ag"),INDIRECT("'"&amp;$A62&amp;$B$11&amp;"'!"&amp;"$A:$A"),BM$1)</f>
        <v>0</v>
      </c>
      <c r="BN62" s="202">
        <f ca="1">SUMIFS(INDIRECT("'"&amp;$A62&amp;$B$11&amp;"'!"&amp;"$Ag:$Ag"),INDIRECT("'"&amp;$A62&amp;$B$11&amp;"'!"&amp;"$A:$A"),BN$1)</f>
        <v>0</v>
      </c>
      <c r="BO62" s="202">
        <f ca="1">SUMIFS(INDIRECT("'"&amp;$A62&amp;$B$11&amp;"'!"&amp;"$Ag:$Ag"),INDIRECT("'"&amp;$A62&amp;$B$11&amp;"'!"&amp;"$A:$A"),BO$1)</f>
        <v>0</v>
      </c>
      <c r="BP62" s="202">
        <f ca="1">SUMIFS(INDIRECT("'"&amp;$A62&amp;$B$11&amp;"'!"&amp;"$Ag:$Ag"),INDIRECT("'"&amp;$A62&amp;$B$11&amp;"'!"&amp;"$A:$A"),BP$1)</f>
        <v>0</v>
      </c>
      <c r="BQ62" s="202">
        <f ca="1">SUMIFS(INDIRECT("'"&amp;$A62&amp;$B$11&amp;"'!"&amp;"$Ag:$Ag"),INDIRECT("'"&amp;$A62&amp;$B$11&amp;"'!"&amp;"$A:$A"),BQ$1)</f>
        <v>0</v>
      </c>
      <c r="BR62" s="202">
        <f ca="1">SUMIFS(INDIRECT("'"&amp;$A62&amp;$B$11&amp;"'!"&amp;"$Ag:$Ag"),INDIRECT("'"&amp;$A62&amp;$B$11&amp;"'!"&amp;"$A:$A"),BR$1)</f>
        <v>0</v>
      </c>
      <c r="BS62" s="202">
        <f ca="1">SUMIFS(INDIRECT("'"&amp;$A62&amp;$B$11&amp;"'!"&amp;"$Ag:$Ag"),INDIRECT("'"&amp;$A62&amp;$B$11&amp;"'!"&amp;"$A:$A"),BS$1)</f>
        <v>0</v>
      </c>
      <c r="BT62" s="202">
        <f ca="1">SUMIFS(INDIRECT("'"&amp;$A62&amp;$B$11&amp;"'!"&amp;"$Ag:$Ag"),INDIRECT("'"&amp;$A62&amp;$B$11&amp;"'!"&amp;"$A:$A"),BT$1)</f>
        <v>0</v>
      </c>
      <c r="BU62" s="202">
        <f ca="1">SUMIFS(INDIRECT("'"&amp;$A62&amp;$B$11&amp;"'!"&amp;"$Ag:$Ag"),INDIRECT("'"&amp;$A62&amp;$B$11&amp;"'!"&amp;"$A:$A"),BU$1)</f>
        <v>0</v>
      </c>
      <c r="BV62" s="202">
        <f ca="1">SUMIFS(INDIRECT("'"&amp;$A62&amp;$B$11&amp;"'!"&amp;"$Ag:$Ag"),INDIRECT("'"&amp;$A62&amp;$B$11&amp;"'!"&amp;"$A:$A"),BV$1)</f>
        <v>0</v>
      </c>
      <c r="BW62" s="202">
        <f ca="1">SUMIFS(INDIRECT("'"&amp;$A62&amp;$B$11&amp;"'!"&amp;"$Ag:$Ag"),INDIRECT("'"&amp;$A62&amp;$B$11&amp;"'!"&amp;"$A:$A"),BW$1)</f>
        <v>0</v>
      </c>
    </row>
    <row r="63" spans="1:75" x14ac:dyDescent="0.3">
      <c r="AF63" s="2"/>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row>
    <row r="64" spans="1:75" x14ac:dyDescent="0.3">
      <c r="A64" s="6" t="s">
        <v>699</v>
      </c>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2"/>
      <c r="AG64" s="48">
        <f t="shared" ref="AG64:BL64" ca="1" si="32">SUM(AG65:AG68)</f>
        <v>268.48159700096835</v>
      </c>
      <c r="AH64" s="48">
        <f t="shared" ca="1" si="32"/>
        <v>305.87625834696252</v>
      </c>
      <c r="AI64" s="48">
        <f t="shared" ca="1" si="32"/>
        <v>290.45909553296167</v>
      </c>
      <c r="AJ64" s="48">
        <f t="shared" ca="1" si="32"/>
        <v>280.89402796964561</v>
      </c>
      <c r="AK64" s="48">
        <f t="shared" ca="1" si="32"/>
        <v>264.83862620533864</v>
      </c>
      <c r="AL64" s="48">
        <f t="shared" ca="1" si="32"/>
        <v>254.94696603517019</v>
      </c>
      <c r="AM64" s="48">
        <f t="shared" ca="1" si="32"/>
        <v>226.77799995141001</v>
      </c>
      <c r="AN64" s="48">
        <f t="shared" ca="1" si="32"/>
        <v>194.29094581467075</v>
      </c>
      <c r="AO64" s="48">
        <f t="shared" ca="1" si="32"/>
        <v>174.20200923210569</v>
      </c>
      <c r="AP64" s="48">
        <f t="shared" ca="1" si="32"/>
        <v>203.70392455010222</v>
      </c>
      <c r="AQ64" s="48">
        <f t="shared" ca="1" si="32"/>
        <v>183.02477502479866</v>
      </c>
      <c r="AR64" s="48">
        <f t="shared" ca="1" si="32"/>
        <v>165.4023333459956</v>
      </c>
      <c r="AS64" s="48">
        <f t="shared" ca="1" si="32"/>
        <v>144.70807011186275</v>
      </c>
      <c r="AT64" s="48">
        <f t="shared" ca="1" si="32"/>
        <v>127.18155078587614</v>
      </c>
      <c r="AU64" s="48">
        <f t="shared" ca="1" si="32"/>
        <v>114.47442238511464</v>
      </c>
      <c r="AV64" s="48">
        <f t="shared" ca="1" si="32"/>
        <v>104.0682494891108</v>
      </c>
      <c r="AW64" s="48">
        <f t="shared" ca="1" si="32"/>
        <v>83.847975414423772</v>
      </c>
      <c r="AX64" s="48">
        <f t="shared" ca="1" si="32"/>
        <v>74.933932595791873</v>
      </c>
      <c r="AY64" s="48">
        <f t="shared" ca="1" si="32"/>
        <v>67.176131022573657</v>
      </c>
      <c r="AZ64" s="48">
        <f t="shared" ca="1" si="32"/>
        <v>59.936348678806439</v>
      </c>
      <c r="BA64" s="48">
        <f t="shared" ca="1" si="32"/>
        <v>54.311969972904834</v>
      </c>
      <c r="BB64" s="48">
        <f t="shared" ca="1" si="32"/>
        <v>48.140115326197574</v>
      </c>
      <c r="BC64" s="48">
        <f t="shared" ca="1" si="32"/>
        <v>44.503248274627445</v>
      </c>
      <c r="BD64" s="48">
        <f t="shared" ca="1" si="32"/>
        <v>41.618077403524623</v>
      </c>
      <c r="BE64" s="48">
        <f t="shared" ca="1" si="32"/>
        <v>39.174731957764855</v>
      </c>
      <c r="BF64" s="48">
        <f t="shared" ca="1" si="32"/>
        <v>35.020559456993936</v>
      </c>
      <c r="BG64" s="48">
        <f t="shared" ca="1" si="32"/>
        <v>32.571841207065759</v>
      </c>
      <c r="BH64" s="48">
        <f t="shared" ca="1" si="32"/>
        <v>30.934381001714399</v>
      </c>
      <c r="BI64" s="48">
        <f ca="1">SUM(BI65:BI68)</f>
        <v>19.8170072154286</v>
      </c>
      <c r="BJ64" s="48">
        <f t="shared" ca="1" si="32"/>
        <v>0</v>
      </c>
      <c r="BK64" s="48">
        <f t="shared" ca="1" si="32"/>
        <v>0</v>
      </c>
      <c r="BL64" s="48">
        <f t="shared" ca="1" si="32"/>
        <v>0</v>
      </c>
      <c r="BM64" s="48">
        <f t="shared" ref="BM64:BW64" ca="1" si="33">SUM(BM65:BM68)</f>
        <v>0</v>
      </c>
      <c r="BN64" s="48">
        <f t="shared" ca="1" si="33"/>
        <v>0</v>
      </c>
      <c r="BO64" s="48">
        <f t="shared" ca="1" si="33"/>
        <v>0</v>
      </c>
      <c r="BP64" s="48">
        <f t="shared" ca="1" si="33"/>
        <v>0</v>
      </c>
      <c r="BQ64" s="48">
        <f t="shared" ca="1" si="33"/>
        <v>0</v>
      </c>
      <c r="BR64" s="48">
        <f t="shared" ca="1" si="33"/>
        <v>0</v>
      </c>
      <c r="BS64" s="48">
        <f t="shared" ca="1" si="33"/>
        <v>0</v>
      </c>
      <c r="BT64" s="48">
        <f t="shared" ca="1" si="33"/>
        <v>0</v>
      </c>
      <c r="BU64" s="48">
        <f t="shared" ca="1" si="33"/>
        <v>0</v>
      </c>
      <c r="BV64" s="48">
        <f t="shared" ca="1" si="33"/>
        <v>0</v>
      </c>
      <c r="BW64" s="48">
        <f t="shared" ca="1" si="33"/>
        <v>0</v>
      </c>
    </row>
    <row r="65" spans="1:75" x14ac:dyDescent="0.3">
      <c r="A65" s="5" t="s">
        <v>66</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2"/>
      <c r="AG65" s="51">
        <f ca="1">AG6*AG59</f>
        <v>160.5599608010541</v>
      </c>
      <c r="AH65" s="51">
        <f t="shared" ref="AH65:BW65" ca="1" si="34">AH6*AH59</f>
        <v>182.68877831579309</v>
      </c>
      <c r="AI65" s="51">
        <f t="shared" ca="1" si="34"/>
        <v>157.38998027475867</v>
      </c>
      <c r="AJ65" s="51">
        <f t="shared" ca="1" si="34"/>
        <v>139.22861032747679</v>
      </c>
      <c r="AK65" s="51">
        <f t="shared" ca="1" si="34"/>
        <v>125.10129655404833</v>
      </c>
      <c r="AL65" s="51">
        <f t="shared" ca="1" si="34"/>
        <v>108.58303095227645</v>
      </c>
      <c r="AM65" s="51">
        <f t="shared" ca="1" si="34"/>
        <v>88.631396108617935</v>
      </c>
      <c r="AN65" s="51">
        <f t="shared" ca="1" si="34"/>
        <v>73.875513415351307</v>
      </c>
      <c r="AO65" s="51">
        <f t="shared" ca="1" si="34"/>
        <v>66.25800311243529</v>
      </c>
      <c r="AP65" s="51">
        <f t="shared" ca="1" si="34"/>
        <v>61.904017465008529</v>
      </c>
      <c r="AQ65" s="51">
        <f t="shared" ca="1" si="34"/>
        <v>58.432610342120626</v>
      </c>
      <c r="AR65" s="51">
        <f t="shared" ca="1" si="34"/>
        <v>53.74904731221875</v>
      </c>
      <c r="AS65" s="51">
        <f t="shared" ca="1" si="34"/>
        <v>46.347667967760373</v>
      </c>
      <c r="AT65" s="51">
        <f t="shared" ca="1" si="34"/>
        <v>40.80198670005835</v>
      </c>
      <c r="AU65" s="51">
        <f t="shared" ca="1" si="34"/>
        <v>37.03141757005843</v>
      </c>
      <c r="AV65" s="51">
        <f t="shared" ca="1" si="34"/>
        <v>33.907015215402552</v>
      </c>
      <c r="AW65" s="51">
        <f t="shared" ca="1" si="34"/>
        <v>31.284415615631978</v>
      </c>
      <c r="AX65" s="51">
        <f t="shared" ca="1" si="34"/>
        <v>28.845822870855841</v>
      </c>
      <c r="AY65" s="51">
        <f t="shared" ca="1" si="34"/>
        <v>26.799756512444006</v>
      </c>
      <c r="AZ65" s="51">
        <f t="shared" ca="1" si="34"/>
        <v>25.010313083527009</v>
      </c>
      <c r="BA65" s="51">
        <f t="shared" ca="1" si="34"/>
        <v>23.554220640327792</v>
      </c>
      <c r="BB65" s="51">
        <f t="shared" ca="1" si="34"/>
        <v>21.885830933897324</v>
      </c>
      <c r="BC65" s="51">
        <f t="shared" ca="1" si="34"/>
        <v>20.694729801651146</v>
      </c>
      <c r="BD65" s="51">
        <f t="shared" ca="1" si="34"/>
        <v>19.684502399092732</v>
      </c>
      <c r="BE65" s="51">
        <f t="shared" ca="1" si="34"/>
        <v>18.836721516839894</v>
      </c>
      <c r="BF65" s="51">
        <f t="shared" ca="1" si="34"/>
        <v>17.937171791642221</v>
      </c>
      <c r="BG65" s="51">
        <f t="shared" ca="1" si="34"/>
        <v>17.162817729670831</v>
      </c>
      <c r="BH65" s="51">
        <f t="shared" ca="1" si="34"/>
        <v>16.451454832621874</v>
      </c>
      <c r="BI65" s="51">
        <f t="shared" ca="1" si="34"/>
        <v>11.440152350838357</v>
      </c>
      <c r="BJ65" s="51">
        <f ca="1">BJ6*BJ59</f>
        <v>0</v>
      </c>
      <c r="BK65" s="51">
        <f t="shared" ca="1" si="34"/>
        <v>0</v>
      </c>
      <c r="BL65" s="51">
        <f t="shared" ca="1" si="34"/>
        <v>0</v>
      </c>
      <c r="BM65" s="51">
        <f t="shared" ca="1" si="34"/>
        <v>0</v>
      </c>
      <c r="BN65" s="51">
        <f t="shared" ca="1" si="34"/>
        <v>0</v>
      </c>
      <c r="BO65" s="51">
        <f t="shared" ca="1" si="34"/>
        <v>0</v>
      </c>
      <c r="BP65" s="51">
        <f t="shared" ca="1" si="34"/>
        <v>0</v>
      </c>
      <c r="BQ65" s="51">
        <f t="shared" ca="1" si="34"/>
        <v>0</v>
      </c>
      <c r="BR65" s="51">
        <f t="shared" ca="1" si="34"/>
        <v>0</v>
      </c>
      <c r="BS65" s="51">
        <f t="shared" ca="1" si="34"/>
        <v>0</v>
      </c>
      <c r="BT65" s="51">
        <f t="shared" ca="1" si="34"/>
        <v>0</v>
      </c>
      <c r="BU65" s="51">
        <f t="shared" ca="1" si="34"/>
        <v>0</v>
      </c>
      <c r="BV65" s="51">
        <f t="shared" ca="1" si="34"/>
        <v>0</v>
      </c>
      <c r="BW65" s="51">
        <f t="shared" ca="1" si="34"/>
        <v>0</v>
      </c>
    </row>
    <row r="66" spans="1:75" x14ac:dyDescent="0.3">
      <c r="A66" s="5" t="s">
        <v>67</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2"/>
      <c r="AG66" s="118"/>
      <c r="AH66" s="118"/>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c r="BF66" s="118"/>
      <c r="BG66" s="118"/>
      <c r="BH66" s="118"/>
      <c r="BI66" s="118"/>
      <c r="BJ66" s="118"/>
      <c r="BK66" s="118"/>
      <c r="BL66" s="118"/>
      <c r="BM66" s="118"/>
      <c r="BN66" s="118"/>
      <c r="BO66" s="118"/>
      <c r="BP66" s="118"/>
      <c r="BQ66" s="118"/>
      <c r="BR66" s="118"/>
      <c r="BS66" s="118"/>
      <c r="BT66" s="118"/>
      <c r="BU66" s="118"/>
      <c r="BV66" s="118"/>
      <c r="BW66" s="118"/>
    </row>
    <row r="67" spans="1:75" x14ac:dyDescent="0.3">
      <c r="A67" s="5" t="s">
        <v>69</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2"/>
      <c r="AG67" s="51">
        <f t="shared" ref="AG67:BW67" ca="1" si="35">AG8*AG61</f>
        <v>31.043628394839459</v>
      </c>
      <c r="AH67" s="51">
        <f t="shared" ca="1" si="35"/>
        <v>30.44296043318554</v>
      </c>
      <c r="AI67" s="51">
        <f t="shared" ca="1" si="35"/>
        <v>28.003188875274702</v>
      </c>
      <c r="AJ67" s="51">
        <f t="shared" ca="1" si="35"/>
        <v>25.965796537627021</v>
      </c>
      <c r="AK67" s="51">
        <f t="shared" ca="1" si="35"/>
        <v>23.099123251104043</v>
      </c>
      <c r="AL67" s="51">
        <f t="shared" ca="1" si="35"/>
        <v>20.779977050167638</v>
      </c>
      <c r="AM67" s="51">
        <f t="shared" ca="1" si="35"/>
        <v>18.957345799152691</v>
      </c>
      <c r="AN67" s="51">
        <f t="shared" ca="1" si="35"/>
        <v>17.3042752468277</v>
      </c>
      <c r="AO67" s="51">
        <f t="shared" ca="1" si="35"/>
        <v>16.245470701721469</v>
      </c>
      <c r="AP67" s="51">
        <f t="shared" ca="1" si="35"/>
        <v>15.215166517013257</v>
      </c>
      <c r="AQ67" s="51">
        <f t="shared" ca="1" si="35"/>
        <v>14.064748673937709</v>
      </c>
      <c r="AR67" s="51">
        <f t="shared" ca="1" si="35"/>
        <v>15.919738032866929</v>
      </c>
      <c r="AS67" s="51">
        <f t="shared" ca="1" si="35"/>
        <v>14.672725307963741</v>
      </c>
      <c r="AT67" s="51">
        <f t="shared" ca="1" si="35"/>
        <v>13.489880062810251</v>
      </c>
      <c r="AU67" s="51">
        <f t="shared" ca="1" si="35"/>
        <v>12.377287916770651</v>
      </c>
      <c r="AV67" s="51">
        <f t="shared" ca="1" si="35"/>
        <v>11.459717459683247</v>
      </c>
      <c r="AW67" s="51">
        <f t="shared" ca="1" si="35"/>
        <v>0</v>
      </c>
      <c r="AX67" s="51">
        <f t="shared" ca="1" si="35"/>
        <v>0</v>
      </c>
      <c r="AY67" s="51">
        <f t="shared" ca="1" si="35"/>
        <v>0</v>
      </c>
      <c r="AZ67" s="51">
        <f t="shared" ca="1" si="35"/>
        <v>0</v>
      </c>
      <c r="BA67" s="51">
        <f t="shared" ca="1" si="35"/>
        <v>0</v>
      </c>
      <c r="BB67" s="51">
        <f t="shared" ca="1" si="35"/>
        <v>0</v>
      </c>
      <c r="BC67" s="51">
        <f t="shared" ca="1" si="35"/>
        <v>0</v>
      </c>
      <c r="BD67" s="51">
        <f t="shared" ca="1" si="35"/>
        <v>0</v>
      </c>
      <c r="BE67" s="51">
        <f t="shared" ca="1" si="35"/>
        <v>0</v>
      </c>
      <c r="BF67" s="51">
        <f t="shared" ca="1" si="35"/>
        <v>0</v>
      </c>
      <c r="BG67" s="51">
        <f t="shared" ca="1" si="35"/>
        <v>0</v>
      </c>
      <c r="BH67" s="51">
        <f t="shared" ca="1" si="35"/>
        <v>0</v>
      </c>
      <c r="BI67" s="51">
        <f t="shared" ca="1" si="35"/>
        <v>0</v>
      </c>
      <c r="BJ67" s="51">
        <f t="shared" ca="1" si="35"/>
        <v>0</v>
      </c>
      <c r="BK67" s="51">
        <f t="shared" ca="1" si="35"/>
        <v>0</v>
      </c>
      <c r="BL67" s="51">
        <f t="shared" ca="1" si="35"/>
        <v>0</v>
      </c>
      <c r="BM67" s="51">
        <f t="shared" ca="1" si="35"/>
        <v>0</v>
      </c>
      <c r="BN67" s="51">
        <f t="shared" ca="1" si="35"/>
        <v>0</v>
      </c>
      <c r="BO67" s="51">
        <f t="shared" ca="1" si="35"/>
        <v>0</v>
      </c>
      <c r="BP67" s="51">
        <f t="shared" ca="1" si="35"/>
        <v>0</v>
      </c>
      <c r="BQ67" s="51">
        <f t="shared" ca="1" si="35"/>
        <v>0</v>
      </c>
      <c r="BR67" s="51">
        <f t="shared" ca="1" si="35"/>
        <v>0</v>
      </c>
      <c r="BS67" s="51">
        <f t="shared" ca="1" si="35"/>
        <v>0</v>
      </c>
      <c r="BT67" s="51">
        <f t="shared" ca="1" si="35"/>
        <v>0</v>
      </c>
      <c r="BU67" s="51">
        <f t="shared" ca="1" si="35"/>
        <v>0</v>
      </c>
      <c r="BV67" s="51">
        <f t="shared" ca="1" si="35"/>
        <v>0</v>
      </c>
      <c r="BW67" s="51">
        <f t="shared" ca="1" si="35"/>
        <v>0</v>
      </c>
    </row>
    <row r="68" spans="1:75" x14ac:dyDescent="0.3">
      <c r="A68" s="5" t="s">
        <v>68</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2"/>
      <c r="AG68" s="51">
        <f t="shared" ref="AG68:BW68" ca="1" si="36">AG9*AG62</f>
        <v>76.878007805074802</v>
      </c>
      <c r="AH68" s="51">
        <f t="shared" ca="1" si="36"/>
        <v>92.744519597983881</v>
      </c>
      <c r="AI68" s="51">
        <f t="shared" ca="1" si="36"/>
        <v>105.0659263829283</v>
      </c>
      <c r="AJ68" s="51">
        <f t="shared" ca="1" si="36"/>
        <v>115.69962110454181</v>
      </c>
      <c r="AK68" s="51">
        <f t="shared" ca="1" si="36"/>
        <v>116.63820640018629</v>
      </c>
      <c r="AL68" s="51">
        <f t="shared" ca="1" si="36"/>
        <v>125.58395803272612</v>
      </c>
      <c r="AM68" s="51">
        <f t="shared" ca="1" si="36"/>
        <v>119.18925804363938</v>
      </c>
      <c r="AN68" s="51">
        <f t="shared" ca="1" si="36"/>
        <v>103.11115715249173</v>
      </c>
      <c r="AO68" s="51">
        <f t="shared" ca="1" si="36"/>
        <v>91.698535417948918</v>
      </c>
      <c r="AP68" s="51">
        <f t="shared" ca="1" si="36"/>
        <v>126.58474056808043</v>
      </c>
      <c r="AQ68" s="51">
        <f t="shared" ca="1" si="36"/>
        <v>110.52741600874032</v>
      </c>
      <c r="AR68" s="51">
        <f t="shared" ca="1" si="36"/>
        <v>95.733548000909906</v>
      </c>
      <c r="AS68" s="51">
        <f t="shared" ca="1" si="36"/>
        <v>83.687676836138621</v>
      </c>
      <c r="AT68" s="51">
        <f t="shared" ca="1" si="36"/>
        <v>72.889684023007547</v>
      </c>
      <c r="AU68" s="51">
        <f t="shared" ca="1" si="36"/>
        <v>65.065716898285558</v>
      </c>
      <c r="AV68" s="51">
        <f t="shared" ca="1" si="36"/>
        <v>58.701516814024998</v>
      </c>
      <c r="AW68" s="51">
        <f t="shared" ca="1" si="36"/>
        <v>52.563559798791793</v>
      </c>
      <c r="AX68" s="51">
        <f t="shared" ca="1" si="36"/>
        <v>46.088109724936032</v>
      </c>
      <c r="AY68" s="51">
        <f t="shared" ca="1" si="36"/>
        <v>40.376374510129644</v>
      </c>
      <c r="AZ68" s="51">
        <f t="shared" ca="1" si="36"/>
        <v>34.92603559527943</v>
      </c>
      <c r="BA68" s="51">
        <f t="shared" ca="1" si="36"/>
        <v>30.757749332577038</v>
      </c>
      <c r="BB68" s="51">
        <f t="shared" ca="1" si="36"/>
        <v>26.254284392300246</v>
      </c>
      <c r="BC68" s="51">
        <f t="shared" ca="1" si="36"/>
        <v>23.808518472976299</v>
      </c>
      <c r="BD68" s="51">
        <f t="shared" ca="1" si="36"/>
        <v>21.933575004431894</v>
      </c>
      <c r="BE68" s="51">
        <f t="shared" ca="1" si="36"/>
        <v>20.338010440924961</v>
      </c>
      <c r="BF68" s="51">
        <f t="shared" ca="1" si="36"/>
        <v>17.083387665351719</v>
      </c>
      <c r="BG68" s="51">
        <f t="shared" ca="1" si="36"/>
        <v>15.409023477394927</v>
      </c>
      <c r="BH68" s="51">
        <f t="shared" ca="1" si="36"/>
        <v>14.482926169092526</v>
      </c>
      <c r="BI68" s="51">
        <f t="shared" ca="1" si="36"/>
        <v>8.3768548645902428</v>
      </c>
      <c r="BJ68" s="51">
        <f t="shared" ca="1" si="36"/>
        <v>0</v>
      </c>
      <c r="BK68" s="51">
        <f t="shared" ca="1" si="36"/>
        <v>0</v>
      </c>
      <c r="BL68" s="51">
        <f t="shared" ca="1" si="36"/>
        <v>0</v>
      </c>
      <c r="BM68" s="51">
        <f t="shared" ca="1" si="36"/>
        <v>0</v>
      </c>
      <c r="BN68" s="51">
        <f t="shared" ca="1" si="36"/>
        <v>0</v>
      </c>
      <c r="BO68" s="51">
        <f t="shared" ca="1" si="36"/>
        <v>0</v>
      </c>
      <c r="BP68" s="51">
        <f t="shared" ca="1" si="36"/>
        <v>0</v>
      </c>
      <c r="BQ68" s="51">
        <f t="shared" ca="1" si="36"/>
        <v>0</v>
      </c>
      <c r="BR68" s="51">
        <f t="shared" ca="1" si="36"/>
        <v>0</v>
      </c>
      <c r="BS68" s="51">
        <f t="shared" ca="1" si="36"/>
        <v>0</v>
      </c>
      <c r="BT68" s="51">
        <f t="shared" ca="1" si="36"/>
        <v>0</v>
      </c>
      <c r="BU68" s="51">
        <f t="shared" ca="1" si="36"/>
        <v>0</v>
      </c>
      <c r="BV68" s="51">
        <f t="shared" ca="1" si="36"/>
        <v>0</v>
      </c>
      <c r="BW68" s="51">
        <f t="shared" ca="1" si="36"/>
        <v>0</v>
      </c>
    </row>
    <row r="70" spans="1:75" x14ac:dyDescent="0.3">
      <c r="A70" s="6" t="s">
        <v>701</v>
      </c>
      <c r="V70" s="48">
        <f t="shared" ref="V70:AE70" si="37">-V71*V5</f>
        <v>59.228286046210606</v>
      </c>
      <c r="W70" s="51">
        <f t="shared" si="37"/>
        <v>24.290214728806301</v>
      </c>
      <c r="X70" s="51">
        <f t="shared" si="37"/>
        <v>31.696964418605269</v>
      </c>
      <c r="Y70" s="51">
        <f t="shared" si="37"/>
        <v>27.509646709162013</v>
      </c>
      <c r="Z70" s="51">
        <f t="shared" si="37"/>
        <v>14.494261137567797</v>
      </c>
      <c r="AA70" s="48">
        <f t="shared" si="37"/>
        <v>97.872829030521856</v>
      </c>
      <c r="AB70" s="51">
        <f t="shared" si="37"/>
        <v>47.796199838363314</v>
      </c>
      <c r="AC70" s="51">
        <f t="shared" si="37"/>
        <v>51.967635905237358</v>
      </c>
      <c r="AD70" s="51">
        <f t="shared" si="37"/>
        <v>70.323882186187959</v>
      </c>
      <c r="AE70" s="51">
        <f t="shared" si="37"/>
        <v>61.335867690970595</v>
      </c>
      <c r="AF70" s="48">
        <f>AB70+AC70+AD70+AE70</f>
        <v>231.42358562075924</v>
      </c>
      <c r="AG70" s="48">
        <f ca="1">AG64+AG52</f>
        <v>348.38091396445355</v>
      </c>
      <c r="AH70" s="48">
        <f ca="1">AH64+AH52</f>
        <v>391.42634239806705</v>
      </c>
      <c r="AI70" s="48">
        <f t="shared" ref="AI70:BW70" ca="1" si="38">AI64+AI52</f>
        <v>413.44464856472808</v>
      </c>
      <c r="AJ70" s="48">
        <f t="shared" ca="1" si="38"/>
        <v>453.53834909596321</v>
      </c>
      <c r="AK70" s="48">
        <f t="shared" ca="1" si="38"/>
        <v>448.54416437186001</v>
      </c>
      <c r="AL70" s="48">
        <f t="shared" ca="1" si="38"/>
        <v>469.82822810226696</v>
      </c>
      <c r="AM70" s="48">
        <f t="shared" ca="1" si="38"/>
        <v>404.91748139224438</v>
      </c>
      <c r="AN70" s="48">
        <f t="shared" ca="1" si="38"/>
        <v>304.91046183744447</v>
      </c>
      <c r="AO70" s="48">
        <f t="shared" ca="1" si="38"/>
        <v>250.18200486418499</v>
      </c>
      <c r="AP70" s="48">
        <f t="shared" ca="1" si="38"/>
        <v>248.09343703165649</v>
      </c>
      <c r="AQ70" s="48">
        <f t="shared" ca="1" si="38"/>
        <v>212.78942012295607</v>
      </c>
      <c r="AR70" s="48">
        <f t="shared" ca="1" si="38"/>
        <v>184.76773414059838</v>
      </c>
      <c r="AS70" s="48">
        <f t="shared" ca="1" si="38"/>
        <v>155.79946948680893</v>
      </c>
      <c r="AT70" s="48">
        <f t="shared" ca="1" si="38"/>
        <v>131.16271854395384</v>
      </c>
      <c r="AU70" s="48">
        <f t="shared" ca="1" si="38"/>
        <v>114.47442238511464</v>
      </c>
      <c r="AV70" s="48">
        <f t="shared" ca="1" si="38"/>
        <v>104.0682494891108</v>
      </c>
      <c r="AW70" s="48">
        <f t="shared" ca="1" si="38"/>
        <v>83.847975414423772</v>
      </c>
      <c r="AX70" s="48">
        <f t="shared" ca="1" si="38"/>
        <v>74.933932595791873</v>
      </c>
      <c r="AY70" s="48">
        <f t="shared" ca="1" si="38"/>
        <v>67.176131022573657</v>
      </c>
      <c r="AZ70" s="48">
        <f t="shared" ca="1" si="38"/>
        <v>59.936348678806439</v>
      </c>
      <c r="BA70" s="48">
        <f t="shared" ca="1" si="38"/>
        <v>54.311969972904834</v>
      </c>
      <c r="BB70" s="48">
        <f t="shared" ca="1" si="38"/>
        <v>48.140115326197574</v>
      </c>
      <c r="BC70" s="48">
        <f t="shared" ca="1" si="38"/>
        <v>44.503248274627445</v>
      </c>
      <c r="BD70" s="48">
        <f t="shared" ca="1" si="38"/>
        <v>41.618077403524623</v>
      </c>
      <c r="BE70" s="48">
        <f t="shared" ca="1" si="38"/>
        <v>39.174731957764855</v>
      </c>
      <c r="BF70" s="48">
        <f t="shared" ca="1" si="38"/>
        <v>35.020559456993936</v>
      </c>
      <c r="BG70" s="48">
        <f t="shared" ca="1" si="38"/>
        <v>32.571841207065759</v>
      </c>
      <c r="BH70" s="48">
        <f t="shared" ca="1" si="38"/>
        <v>30.934381001714399</v>
      </c>
      <c r="BI70" s="48">
        <f t="shared" ca="1" si="38"/>
        <v>19.8170072154286</v>
      </c>
      <c r="BJ70" s="48">
        <f ca="1">BJ64+BJ52</f>
        <v>0</v>
      </c>
      <c r="BK70" s="48">
        <f t="shared" ca="1" si="38"/>
        <v>0</v>
      </c>
      <c r="BL70" s="48">
        <f t="shared" ca="1" si="38"/>
        <v>0</v>
      </c>
      <c r="BM70" s="48">
        <f t="shared" ca="1" si="38"/>
        <v>0</v>
      </c>
      <c r="BN70" s="48">
        <f t="shared" ca="1" si="38"/>
        <v>0</v>
      </c>
      <c r="BO70" s="48">
        <f t="shared" ca="1" si="38"/>
        <v>0</v>
      </c>
      <c r="BP70" s="48">
        <f t="shared" ca="1" si="38"/>
        <v>0</v>
      </c>
      <c r="BQ70" s="48">
        <f t="shared" ca="1" si="38"/>
        <v>0</v>
      </c>
      <c r="BR70" s="48">
        <f t="shared" ca="1" si="38"/>
        <v>0</v>
      </c>
      <c r="BS70" s="48">
        <f t="shared" ca="1" si="38"/>
        <v>0</v>
      </c>
      <c r="BT70" s="48">
        <f t="shared" ca="1" si="38"/>
        <v>0</v>
      </c>
      <c r="BU70" s="48">
        <f t="shared" ca="1" si="38"/>
        <v>0</v>
      </c>
      <c r="BV70" s="48">
        <f t="shared" ca="1" si="38"/>
        <v>0</v>
      </c>
      <c r="BW70" s="48">
        <f t="shared" ca="1" si="38"/>
        <v>0</v>
      </c>
    </row>
    <row r="71" spans="1:75" x14ac:dyDescent="0.3">
      <c r="A71" s="5" t="s">
        <v>702</v>
      </c>
      <c r="V71" s="74">
        <f>'Fluxo de Caixa dos Acionistas'!V23</f>
        <v>-7.3041806386392363E-2</v>
      </c>
      <c r="W71" s="74">
        <f>'Fluxo de Caixa dos Acionistas'!W23</f>
        <v>-7.8437511233696841E-2</v>
      </c>
      <c r="X71" s="74">
        <f>'Fluxo de Caixa dos Acionistas'!X23</f>
        <v>-8.4001739608374662E-2</v>
      </c>
      <c r="Y71" s="74">
        <f>'Fluxo de Caixa dos Acionistas'!Y23</f>
        <v>-7.2747013021544113E-2</v>
      </c>
      <c r="Z71" s="74">
        <f>'Fluxo de Caixa dos Acionistas'!Z23</f>
        <v>-7.8563513328930926E-2</v>
      </c>
      <c r="AA71" s="74">
        <f>'Fluxo de Caixa dos Acionistas'!AA23</f>
        <v>-7.831962881915934E-2</v>
      </c>
      <c r="AB71" s="74">
        <f>'Fluxo de Caixa dos Acionistas'!AB23</f>
        <v>-8.4637587456993096E-2</v>
      </c>
      <c r="AC71" s="74">
        <f>'Fluxo de Caixa dos Acionistas'!AC23</f>
        <v>-9.7593637261239374E-2</v>
      </c>
      <c r="AD71" s="74">
        <f>'Fluxo de Caixa dos Acionistas'!AD23</f>
        <v>-8.4194707694779852E-2</v>
      </c>
      <c r="AE71" s="74">
        <f>AVERAGE(AB71:AD71)</f>
        <v>-8.880864413767077E-2</v>
      </c>
      <c r="AF71" s="69">
        <f t="shared" ref="AF71:BW71" si="39">IFERROR(-AF70/AF5,0)</f>
        <v>-8.8224854236347322E-2</v>
      </c>
      <c r="AG71" s="69">
        <f ca="1">IFERROR(-AG70/AG5,0)</f>
        <v>-0.1048455144644876</v>
      </c>
      <c r="AH71" s="69">
        <f t="shared" ca="1" si="39"/>
        <v>-9.6299652398529265E-2</v>
      </c>
      <c r="AI71" s="69">
        <f t="shared" ca="1" si="39"/>
        <v>-0.1005583723519704</v>
      </c>
      <c r="AJ71" s="69">
        <f t="shared" ca="1" si="39"/>
        <v>-0.10847493160591691</v>
      </c>
      <c r="AK71" s="69">
        <f t="shared" ca="1" si="39"/>
        <v>-0.11129995854709392</v>
      </c>
      <c r="AL71" s="69">
        <f t="shared" ca="1" si="39"/>
        <v>-0.11643293981757732</v>
      </c>
      <c r="AM71" s="69">
        <f t="shared" ca="1" si="39"/>
        <v>-0.11105386530572317</v>
      </c>
      <c r="AN71" s="69">
        <f t="shared" ca="1" si="39"/>
        <v>-9.8691074842137516E-2</v>
      </c>
      <c r="AO71" s="69">
        <f t="shared" ca="1" si="39"/>
        <v>-9.1801269212573006E-2</v>
      </c>
      <c r="AP71" s="69">
        <f t="shared" ca="1" si="39"/>
        <v>-0.10213616313062882</v>
      </c>
      <c r="AQ71" s="69">
        <f t="shared" ca="1" si="39"/>
        <v>-9.7527399615283908E-2</v>
      </c>
      <c r="AR71" s="69">
        <f t="shared" ca="1" si="39"/>
        <v>-9.544843736507555E-2</v>
      </c>
      <c r="AS71" s="69">
        <f t="shared" ca="1" si="39"/>
        <v>-9.2060515241005308E-2</v>
      </c>
      <c r="AT71" s="69">
        <f t="shared" ca="1" si="39"/>
        <v>-8.8254751539578014E-2</v>
      </c>
      <c r="AU71" s="69">
        <f t="shared" ca="1" si="39"/>
        <v>-8.5642200906578619E-2</v>
      </c>
      <c r="AV71" s="69">
        <f t="shared" ca="1" si="39"/>
        <v>-8.6126478523207803E-2</v>
      </c>
      <c r="AW71" s="69">
        <f t="shared" ca="1" si="39"/>
        <v>-8.6328376138738699E-2</v>
      </c>
      <c r="AX71" s="69">
        <f t="shared" ca="1" si="39"/>
        <v>-8.6325262476328851E-2</v>
      </c>
      <c r="AY71" s="69">
        <f t="shared" ca="1" si="39"/>
        <v>-8.6331495528463559E-2</v>
      </c>
      <c r="AZ71" s="69">
        <f t="shared" ca="1" si="39"/>
        <v>-8.6335553029435269E-2</v>
      </c>
      <c r="BA71" s="69">
        <f t="shared" ca="1" si="39"/>
        <v>-8.6347199803266272E-2</v>
      </c>
      <c r="BB71" s="69">
        <f t="shared" ca="1" si="39"/>
        <v>-8.6359618052122555E-2</v>
      </c>
      <c r="BC71" s="69">
        <f t="shared" ca="1" si="39"/>
        <v>-8.6370866040618027E-2</v>
      </c>
      <c r="BD71" s="69">
        <f t="shared" ca="1" si="39"/>
        <v>-8.6375456137106524E-2</v>
      </c>
      <c r="BE71" s="69">
        <f t="shared" ca="1" si="39"/>
        <v>-8.6399952723578685E-2</v>
      </c>
      <c r="BF71" s="69">
        <f t="shared" ca="1" si="39"/>
        <v>-8.6411369064822108E-2</v>
      </c>
      <c r="BG71" s="69">
        <f t="shared" ca="1" si="39"/>
        <v>-8.6416242864443313E-2</v>
      </c>
      <c r="BH71" s="69">
        <f t="shared" ca="1" si="39"/>
        <v>-8.6411281369354789E-2</v>
      </c>
      <c r="BI71" s="69">
        <f ca="1">IFERROR(-BI70/BI5,0)</f>
        <v>-8.6506084238310313E-2</v>
      </c>
      <c r="BJ71" s="69">
        <f ca="1">IFERROR(-BJ70/BJ5,0)</f>
        <v>0</v>
      </c>
      <c r="BK71" s="69">
        <f t="shared" ca="1" si="39"/>
        <v>0</v>
      </c>
      <c r="BL71" s="69">
        <f t="shared" ca="1" si="39"/>
        <v>0</v>
      </c>
      <c r="BM71" s="69">
        <f t="shared" ca="1" si="39"/>
        <v>0</v>
      </c>
      <c r="BN71" s="69">
        <f t="shared" ca="1" si="39"/>
        <v>0</v>
      </c>
      <c r="BO71" s="69">
        <f t="shared" ca="1" si="39"/>
        <v>0</v>
      </c>
      <c r="BP71" s="69">
        <f t="shared" ca="1" si="39"/>
        <v>0</v>
      </c>
      <c r="BQ71" s="69">
        <f t="shared" ca="1" si="39"/>
        <v>0</v>
      </c>
      <c r="BR71" s="69">
        <f t="shared" ca="1" si="39"/>
        <v>0</v>
      </c>
      <c r="BS71" s="69">
        <f t="shared" ca="1" si="39"/>
        <v>0</v>
      </c>
      <c r="BT71" s="69">
        <f t="shared" ca="1" si="39"/>
        <v>0</v>
      </c>
      <c r="BU71" s="69">
        <f t="shared" ca="1" si="39"/>
        <v>0</v>
      </c>
      <c r="BV71" s="69">
        <f t="shared" ca="1" si="39"/>
        <v>0</v>
      </c>
      <c r="BW71" s="69">
        <f t="shared" ca="1" si="3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1DDCF-44C3-4DD6-A77D-8BBB0227C225}">
  <sheetPr>
    <tabColor theme="8" tint="0.79998168889431442"/>
  </sheetPr>
  <dimension ref="A1:BW75"/>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A3" sqref="A3:XFD3"/>
    </sheetView>
  </sheetViews>
  <sheetFormatPr defaultRowHeight="14.4" x14ac:dyDescent="0.3"/>
  <cols>
    <col min="1" max="1" width="56.33203125" style="2" customWidth="1"/>
    <col min="2" max="2" width="12.6640625" style="2" bestFit="1" customWidth="1"/>
    <col min="3" max="26" width="10.44140625" style="2" customWidth="1"/>
    <col min="27" max="27" width="9.88671875" bestFit="1" customWidth="1"/>
    <col min="28" max="28" width="11.33203125" bestFit="1" customWidth="1"/>
    <col min="29" max="31" width="9.88671875" customWidth="1"/>
    <col min="32" max="32" width="10.77734375" bestFit="1" customWidth="1"/>
    <col min="33" max="39" width="11" bestFit="1" customWidth="1"/>
    <col min="40" max="58" width="9.88671875" bestFit="1" customWidth="1"/>
    <col min="59" max="75" width="8.21875" bestFit="1" customWidth="1"/>
  </cols>
  <sheetData>
    <row r="1" spans="1:75" x14ac:dyDescent="0.3">
      <c r="C1" s="3" t="s">
        <v>246</v>
      </c>
      <c r="D1" s="3" t="s">
        <v>245</v>
      </c>
      <c r="E1" s="3" t="s">
        <v>244</v>
      </c>
      <c r="F1" s="3" t="s">
        <v>238</v>
      </c>
      <c r="G1" s="3">
        <v>2018</v>
      </c>
      <c r="H1" s="3" t="s">
        <v>243</v>
      </c>
      <c r="I1" s="3" t="s">
        <v>242</v>
      </c>
      <c r="J1" s="3" t="s">
        <v>241</v>
      </c>
      <c r="K1" s="3" t="s">
        <v>239</v>
      </c>
      <c r="L1" s="3">
        <v>2019</v>
      </c>
      <c r="M1" s="3" t="s">
        <v>237</v>
      </c>
      <c r="N1" s="3" t="s">
        <v>236</v>
      </c>
      <c r="O1" s="3" t="s">
        <v>240</v>
      </c>
      <c r="P1" s="3" t="s">
        <v>228</v>
      </c>
      <c r="Q1" s="3">
        <v>2020</v>
      </c>
      <c r="R1" s="3" t="s">
        <v>234</v>
      </c>
      <c r="S1" s="3" t="s">
        <v>233</v>
      </c>
      <c r="T1" s="3" t="s">
        <v>231</v>
      </c>
      <c r="U1" s="3" t="s">
        <v>227</v>
      </c>
      <c r="V1" s="3">
        <v>2021</v>
      </c>
      <c r="W1" s="3" t="s">
        <v>232</v>
      </c>
      <c r="X1" s="3" t="s">
        <v>230</v>
      </c>
      <c r="Y1" s="3" t="s">
        <v>229</v>
      </c>
      <c r="Z1" s="3" t="s">
        <v>226</v>
      </c>
      <c r="AA1" s="3">
        <v>2022</v>
      </c>
      <c r="AB1" s="3" t="s">
        <v>138</v>
      </c>
      <c r="AC1" s="3" t="s">
        <v>139</v>
      </c>
      <c r="AD1" s="3" t="s">
        <v>270</v>
      </c>
      <c r="AE1" s="3" t="s">
        <v>271</v>
      </c>
      <c r="AF1" s="3">
        <v>2023</v>
      </c>
      <c r="AG1" s="3">
        <f>AF1+1</f>
        <v>2024</v>
      </c>
      <c r="AH1" s="3">
        <f t="shared" ref="AH1:BL1" si="0">AG1+1</f>
        <v>2025</v>
      </c>
      <c r="AI1" s="3">
        <f t="shared" si="0"/>
        <v>2026</v>
      </c>
      <c r="AJ1" s="3">
        <f t="shared" si="0"/>
        <v>2027</v>
      </c>
      <c r="AK1" s="3">
        <f t="shared" si="0"/>
        <v>2028</v>
      </c>
      <c r="AL1" s="3">
        <f t="shared" si="0"/>
        <v>2029</v>
      </c>
      <c r="AM1" s="3">
        <f t="shared" si="0"/>
        <v>2030</v>
      </c>
      <c r="AN1" s="3">
        <f t="shared" si="0"/>
        <v>2031</v>
      </c>
      <c r="AO1" s="3">
        <f t="shared" si="0"/>
        <v>2032</v>
      </c>
      <c r="AP1" s="3">
        <f t="shared" si="0"/>
        <v>2033</v>
      </c>
      <c r="AQ1" s="3">
        <f t="shared" si="0"/>
        <v>2034</v>
      </c>
      <c r="AR1" s="3">
        <f t="shared" si="0"/>
        <v>2035</v>
      </c>
      <c r="AS1" s="3">
        <f t="shared" si="0"/>
        <v>2036</v>
      </c>
      <c r="AT1" s="3">
        <f t="shared" si="0"/>
        <v>2037</v>
      </c>
      <c r="AU1" s="3">
        <f t="shared" si="0"/>
        <v>2038</v>
      </c>
      <c r="AV1" s="3">
        <f t="shared" si="0"/>
        <v>2039</v>
      </c>
      <c r="AW1" s="3">
        <f t="shared" si="0"/>
        <v>2040</v>
      </c>
      <c r="AX1" s="3">
        <f t="shared" si="0"/>
        <v>2041</v>
      </c>
      <c r="AY1" s="3">
        <f t="shared" si="0"/>
        <v>2042</v>
      </c>
      <c r="AZ1" s="3">
        <f t="shared" si="0"/>
        <v>2043</v>
      </c>
      <c r="BA1" s="3">
        <f t="shared" si="0"/>
        <v>2044</v>
      </c>
      <c r="BB1" s="3">
        <f t="shared" si="0"/>
        <v>2045</v>
      </c>
      <c r="BC1" s="3">
        <f t="shared" si="0"/>
        <v>2046</v>
      </c>
      <c r="BD1" s="3">
        <f t="shared" si="0"/>
        <v>2047</v>
      </c>
      <c r="BE1" s="3">
        <f t="shared" si="0"/>
        <v>2048</v>
      </c>
      <c r="BF1" s="3">
        <f t="shared" si="0"/>
        <v>2049</v>
      </c>
      <c r="BG1" s="3">
        <f t="shared" si="0"/>
        <v>2050</v>
      </c>
      <c r="BH1" s="3">
        <f t="shared" si="0"/>
        <v>2051</v>
      </c>
      <c r="BI1" s="3">
        <f t="shared" si="0"/>
        <v>2052</v>
      </c>
      <c r="BJ1" s="3">
        <f t="shared" si="0"/>
        <v>2053</v>
      </c>
      <c r="BK1" s="3">
        <f t="shared" si="0"/>
        <v>2054</v>
      </c>
      <c r="BL1" s="3">
        <f t="shared" si="0"/>
        <v>2055</v>
      </c>
      <c r="BM1" s="3">
        <f t="shared" ref="BM1:BW1" si="1">BL1+1</f>
        <v>2056</v>
      </c>
      <c r="BN1" s="3">
        <f t="shared" si="1"/>
        <v>2057</v>
      </c>
      <c r="BO1" s="3">
        <f t="shared" si="1"/>
        <v>2058</v>
      </c>
      <c r="BP1" s="3">
        <f t="shared" si="1"/>
        <v>2059</v>
      </c>
      <c r="BQ1" s="3">
        <f t="shared" si="1"/>
        <v>2060</v>
      </c>
      <c r="BR1" s="3">
        <f t="shared" si="1"/>
        <v>2061</v>
      </c>
      <c r="BS1" s="3">
        <f t="shared" si="1"/>
        <v>2062</v>
      </c>
      <c r="BT1" s="3">
        <f t="shared" si="1"/>
        <v>2063</v>
      </c>
      <c r="BU1" s="3">
        <f t="shared" si="1"/>
        <v>2064</v>
      </c>
      <c r="BV1" s="3">
        <f t="shared" si="1"/>
        <v>2065</v>
      </c>
      <c r="BW1" s="3">
        <f t="shared" si="1"/>
        <v>2066</v>
      </c>
    </row>
    <row r="2" spans="1:75" x14ac:dyDescent="0.3">
      <c r="AB2" s="1"/>
      <c r="AC2" s="1"/>
      <c r="AD2" s="1"/>
      <c r="AE2" s="1"/>
    </row>
    <row r="3" spans="1:75" s="278" customFormat="1" ht="13.8" x14ac:dyDescent="0.3">
      <c r="A3" s="278" t="s">
        <v>1196</v>
      </c>
    </row>
    <row r="4" spans="1:75" s="27" customFormat="1" ht="13.8" x14ac:dyDescent="0.3"/>
    <row r="5" spans="1:75" x14ac:dyDescent="0.3">
      <c r="A5" s="5" t="s">
        <v>505</v>
      </c>
      <c r="B5" s="5"/>
      <c r="C5" s="60">
        <v>5.87</v>
      </c>
      <c r="D5" s="60">
        <v>5.87</v>
      </c>
      <c r="E5" s="60">
        <v>5.87</v>
      </c>
      <c r="F5" s="60">
        <v>5.87</v>
      </c>
      <c r="G5" s="60">
        <v>5.87</v>
      </c>
      <c r="H5" s="60">
        <v>5.87</v>
      </c>
      <c r="I5" s="60">
        <v>5.87</v>
      </c>
      <c r="J5" s="60">
        <v>5.87</v>
      </c>
      <c r="K5" s="60">
        <v>5.87</v>
      </c>
      <c r="L5" s="60">
        <v>5.87</v>
      </c>
      <c r="M5" s="60">
        <v>5.87</v>
      </c>
      <c r="N5" s="60">
        <v>5.87</v>
      </c>
      <c r="O5" s="60">
        <v>5.87</v>
      </c>
      <c r="P5" s="60">
        <v>5.87</v>
      </c>
      <c r="Q5" s="60">
        <v>5.87</v>
      </c>
      <c r="R5" s="60">
        <v>5.87</v>
      </c>
      <c r="S5" s="60">
        <v>5.87</v>
      </c>
      <c r="T5" s="60">
        <v>5.87</v>
      </c>
      <c r="U5" s="60">
        <v>5.87</v>
      </c>
      <c r="V5" s="60">
        <v>5.87</v>
      </c>
      <c r="W5" s="60">
        <v>5.87</v>
      </c>
      <c r="X5" s="60">
        <v>5.87</v>
      </c>
      <c r="Y5" s="60">
        <v>5.87</v>
      </c>
      <c r="Z5" s="60">
        <v>5.87</v>
      </c>
      <c r="AA5" s="60">
        <v>5.87</v>
      </c>
      <c r="AB5" s="60">
        <v>5.87</v>
      </c>
      <c r="AC5" s="60">
        <v>5.87</v>
      </c>
      <c r="AD5" s="60">
        <v>5.87</v>
      </c>
      <c r="AE5" s="60">
        <v>5.87</v>
      </c>
      <c r="AF5" s="60">
        <v>5.87</v>
      </c>
      <c r="AG5" s="60">
        <v>5.87</v>
      </c>
      <c r="AH5" s="60">
        <v>5.87</v>
      </c>
      <c r="AI5" s="60">
        <v>5.87</v>
      </c>
      <c r="AJ5" s="60">
        <v>5.87</v>
      </c>
      <c r="AK5" s="60">
        <v>5.87</v>
      </c>
      <c r="AL5" s="60">
        <v>5.87</v>
      </c>
      <c r="AM5" s="60">
        <v>5.87</v>
      </c>
      <c r="AN5" s="60">
        <v>5.87</v>
      </c>
      <c r="AO5" s="60">
        <v>5.87</v>
      </c>
      <c r="AP5" s="60">
        <v>5.87</v>
      </c>
      <c r="AQ5" s="60">
        <v>5.87</v>
      </c>
      <c r="AR5" s="60">
        <v>5.87</v>
      </c>
      <c r="AS5" s="60">
        <v>5.87</v>
      </c>
      <c r="AT5" s="60">
        <v>5.87</v>
      </c>
      <c r="AU5" s="60">
        <v>5.87</v>
      </c>
      <c r="AV5" s="60">
        <v>5.87</v>
      </c>
      <c r="AW5" s="60">
        <v>5.87</v>
      </c>
      <c r="AX5" s="60">
        <v>5.87</v>
      </c>
      <c r="AY5" s="60">
        <v>5.87</v>
      </c>
      <c r="AZ5" s="60">
        <v>5.87</v>
      </c>
      <c r="BA5" s="60">
        <v>5.87</v>
      </c>
      <c r="BB5" s="60">
        <v>5.87</v>
      </c>
      <c r="BC5" s="60">
        <v>5.87</v>
      </c>
      <c r="BD5" s="60">
        <v>5.87</v>
      </c>
      <c r="BE5" s="60">
        <v>5.87</v>
      </c>
      <c r="BF5" s="60">
        <v>5.87</v>
      </c>
      <c r="BG5" s="60">
        <v>5.87</v>
      </c>
      <c r="BH5" s="60">
        <v>5.87</v>
      </c>
      <c r="BI5" s="60">
        <v>5.87</v>
      </c>
      <c r="BJ5" s="60">
        <v>5.87</v>
      </c>
      <c r="BK5" s="60">
        <v>5.87</v>
      </c>
      <c r="BL5" s="60">
        <v>5.87</v>
      </c>
      <c r="BM5" s="60">
        <v>5.87</v>
      </c>
      <c r="BN5" s="60">
        <v>5.87</v>
      </c>
      <c r="BO5" s="60">
        <v>5.87</v>
      </c>
      <c r="BP5" s="60">
        <v>5.87</v>
      </c>
      <c r="BQ5" s="60">
        <v>5.87</v>
      </c>
      <c r="BR5" s="60">
        <v>5.87</v>
      </c>
      <c r="BS5" s="60">
        <v>5.87</v>
      </c>
      <c r="BT5" s="60">
        <v>5.87</v>
      </c>
      <c r="BU5" s="60">
        <v>5.87</v>
      </c>
      <c r="BV5" s="60">
        <v>5.87</v>
      </c>
      <c r="BW5" s="60">
        <v>5.87</v>
      </c>
    </row>
    <row r="6" spans="1:75" x14ac:dyDescent="0.3">
      <c r="A6" s="5" t="s">
        <v>506</v>
      </c>
      <c r="C6" s="27"/>
      <c r="D6" s="27"/>
      <c r="E6" s="27"/>
      <c r="F6" s="27"/>
      <c r="G6" s="27"/>
      <c r="H6" s="27"/>
      <c r="I6" s="27"/>
      <c r="J6" s="27"/>
      <c r="K6" s="27"/>
      <c r="L6" s="27"/>
      <c r="M6" s="27"/>
      <c r="N6" s="27"/>
      <c r="O6" s="27"/>
      <c r="P6" s="27"/>
      <c r="Q6" s="27"/>
      <c r="R6" s="27"/>
      <c r="S6" s="27"/>
      <c r="T6" s="27"/>
      <c r="U6" s="27"/>
      <c r="V6" s="27"/>
      <c r="W6" s="27"/>
      <c r="X6" s="27"/>
      <c r="Y6" s="27"/>
      <c r="Z6" s="27"/>
      <c r="AA6" s="27"/>
      <c r="AB6" s="71">
        <f>'Resultado Financeiro e Dívida'!AB7</f>
        <v>5.0804028095189979</v>
      </c>
      <c r="AC6" s="71">
        <f>'Resultado Financeiro e Dívida'!AC7</f>
        <v>4.8191988353858903</v>
      </c>
      <c r="AD6" s="71">
        <f>'Resultado Financeiro e Dívida'!AD7</f>
        <v>5.0076374407268203</v>
      </c>
      <c r="AE6" s="71">
        <f>'Resultado Financeiro e Dívida'!AE7</f>
        <v>4.8499999999999996</v>
      </c>
      <c r="AF6" s="71">
        <f>'Resultado Financeiro e Dívida'!AF7</f>
        <v>4.9324999999999992</v>
      </c>
      <c r="AG6" s="71">
        <f>'Resultado Financeiro e Dívida'!AG7</f>
        <v>4.9326999999999996</v>
      </c>
      <c r="AH6" s="71">
        <f>'Resultado Financeiro e Dívida'!AH7</f>
        <v>5</v>
      </c>
      <c r="AI6" s="71">
        <f>'Resultado Financeiro e Dívida'!AI7</f>
        <v>5.04</v>
      </c>
      <c r="AJ6" s="71">
        <f>'Resultado Financeiro e Dívida'!AJ7</f>
        <v>5.0999999999999996</v>
      </c>
      <c r="AK6" s="71">
        <f>'Resultado Financeiro e Dívida'!AK7</f>
        <v>5.0999999999999996</v>
      </c>
      <c r="AL6" s="71">
        <f>'Resultado Financeiro e Dívida'!AL7</f>
        <v>5.15</v>
      </c>
      <c r="AM6" s="71">
        <f>'Resultado Financeiro e Dívida'!AM7</f>
        <v>5.200490196078432</v>
      </c>
      <c r="AN6" s="71">
        <f>'Resultado Financeiro e Dívida'!AN7</f>
        <v>5.2514753940792014</v>
      </c>
      <c r="AO6" s="71">
        <f>'Resultado Financeiro e Dívida'!AO7</f>
        <v>5.3029604469623308</v>
      </c>
      <c r="AP6" s="71">
        <f>'Resultado Financeiro e Dívida'!AP7</f>
        <v>5.3549502552658828</v>
      </c>
      <c r="AQ6" s="71">
        <f>'Resultado Financeiro e Dívida'!AQ7</f>
        <v>5.4074497675724107</v>
      </c>
      <c r="AR6" s="71">
        <f>'Resultado Financeiro e Dívida'!AR7</f>
        <v>5.4604639809799842</v>
      </c>
      <c r="AS6" s="71">
        <f>'Resultado Financeiro e Dívida'!AS7</f>
        <v>5.5139979415778271</v>
      </c>
      <c r="AT6" s="71">
        <f>'Resultado Financeiro e Dívida'!AT7</f>
        <v>5.5680567449266292</v>
      </c>
      <c r="AU6" s="71">
        <f>'Resultado Financeiro e Dívida'!AU7</f>
        <v>5.6226455365435566</v>
      </c>
      <c r="AV6" s="71">
        <f>'Resultado Financeiro e Dívida'!AV7</f>
        <v>5.6777695123920227</v>
      </c>
      <c r="AW6" s="71">
        <f>'Resultado Financeiro e Dívida'!AW7</f>
        <v>5.7334339193762576</v>
      </c>
      <c r="AX6" s="71">
        <f>'Resultado Financeiro e Dívida'!AX7</f>
        <v>5.7896440558407303</v>
      </c>
      <c r="AY6" s="71">
        <f>'Resultado Financeiro e Dívida'!AY7</f>
        <v>5.8464052720744633</v>
      </c>
      <c r="AZ6" s="71">
        <f>'Resultado Financeiro e Dívida'!AZ7</f>
        <v>5.903722970820291</v>
      </c>
      <c r="BA6" s="71">
        <f>'Resultado Financeiro e Dívida'!BA7</f>
        <v>5.9616026077891178</v>
      </c>
      <c r="BB6" s="71">
        <f>'Resultado Financeiro e Dívida'!BB7</f>
        <v>6.0200496921792075</v>
      </c>
      <c r="BC6" s="71">
        <f>'Resultado Financeiro e Dívida'!BC7</f>
        <v>6.0790697872005719</v>
      </c>
      <c r="BD6" s="71">
        <f>'Resultado Financeiro e Dívida'!BD7</f>
        <v>6.1386685106044991</v>
      </c>
      <c r="BE6" s="71">
        <f>'Resultado Financeiro e Dívida'!BE7</f>
        <v>6.1988515352182691</v>
      </c>
      <c r="BF6" s="71">
        <f>'Resultado Financeiro e Dívida'!BF7</f>
        <v>6.2596245894851146</v>
      </c>
      <c r="BG6" s="71">
        <f>'Resultado Financeiro e Dívida'!BG7</f>
        <v>6.3209934580094789</v>
      </c>
      <c r="BH6" s="71">
        <f>'Resultado Financeiro e Dívida'!BH7</f>
        <v>6.3829639821076105</v>
      </c>
      <c r="BI6" s="71">
        <f>'Resultado Financeiro e Dívida'!BI7</f>
        <v>6.445542060363568</v>
      </c>
      <c r="BJ6" s="71">
        <f>'Resultado Financeiro e Dívida'!BJ7</f>
        <v>6.5087336491906616</v>
      </c>
      <c r="BK6" s="71">
        <f>'Resultado Financeiro e Dívida'!BK7</f>
        <v>6.5725447633984135</v>
      </c>
      <c r="BL6" s="71">
        <f>'Resultado Financeiro e Dívida'!BL7</f>
        <v>6.6369814767650652</v>
      </c>
      <c r="BM6" s="71">
        <f>'Resultado Financeiro e Dívida'!BM7</f>
        <v>6.7020499226157026</v>
      </c>
      <c r="BN6" s="71">
        <f>'Resultado Financeiro e Dívida'!BN7</f>
        <v>6.7677562944060528</v>
      </c>
      <c r="BO6" s="71">
        <f>'Resultado Financeiro e Dívida'!BO7</f>
        <v>6.8341068463119949</v>
      </c>
      <c r="BP6" s="71">
        <f>'Resultado Financeiro e Dívida'!BP7</f>
        <v>6.9011078938248582</v>
      </c>
      <c r="BQ6" s="71">
        <f>'Resultado Financeiro e Dívida'!BQ7</f>
        <v>6.9687658143525528</v>
      </c>
      <c r="BR6" s="71">
        <f>'Resultado Financeiro e Dívida'!BR7</f>
        <v>7.0370870478265974</v>
      </c>
      <c r="BS6" s="71">
        <f>'Resultado Financeiro e Dívida'!BS7</f>
        <v>7.106078097315093</v>
      </c>
      <c r="BT6" s="71">
        <f>'Resultado Financeiro e Dívida'!BT7</f>
        <v>7.175745529641711</v>
      </c>
      <c r="BU6" s="71">
        <f>'Resultado Financeiro e Dívida'!BU7</f>
        <v>7.2460959760107482</v>
      </c>
      <c r="BV6" s="71">
        <f>'Resultado Financeiro e Dívida'!BV7</f>
        <v>7.3171361326383053</v>
      </c>
      <c r="BW6" s="71">
        <f>'Resultado Financeiro e Dívida'!BW7</f>
        <v>7.3888727613896608</v>
      </c>
    </row>
    <row r="7" spans="1:75" x14ac:dyDescent="0.3">
      <c r="A7" s="5" t="s">
        <v>6</v>
      </c>
      <c r="AA7" s="27"/>
      <c r="AB7" s="27"/>
      <c r="AC7" s="27"/>
      <c r="AD7" s="27"/>
      <c r="AE7" s="27"/>
      <c r="AF7" s="74">
        <f>'Avaliação e Simulações'!D22</f>
        <v>0</v>
      </c>
      <c r="AG7" s="74">
        <f>'Avaliação e Simulações'!E22</f>
        <v>3.8805953788752845E-2</v>
      </c>
      <c r="AH7" s="74">
        <f>'Avaliação e Simulações'!F22</f>
        <v>3.6704793936478186E-2</v>
      </c>
      <c r="AI7" s="74">
        <f>'Avaliação e Simulações'!G22</f>
        <v>3.5180948775491494E-2</v>
      </c>
      <c r="AJ7" s="74">
        <f>'Avaliação e Simulações'!H22</f>
        <v>3.499999999999992E-2</v>
      </c>
      <c r="AK7" s="74">
        <f>'Avaliação e Simulações'!I22</f>
        <v>3.2457002457002337E-2</v>
      </c>
      <c r="AL7" s="74">
        <f>'Avaliação e Simulações'!J22</f>
        <v>3.0000000000000249E-2</v>
      </c>
      <c r="AM7" s="74">
        <f>'Avaliação e Simulações'!K22</f>
        <v>3.0000000000000249E-2</v>
      </c>
      <c r="AN7" s="74">
        <f>'Avaliação e Simulações'!L22</f>
        <v>3.0000000000000249E-2</v>
      </c>
      <c r="AO7" s="74">
        <f>'Avaliação e Simulações'!M22</f>
        <v>3.0000000000000249E-2</v>
      </c>
      <c r="AP7" s="74">
        <f>'Avaliação e Simulações'!N22</f>
        <v>3.0000000000000249E-2</v>
      </c>
      <c r="AQ7" s="74">
        <f>'Avaliação e Simulações'!O22</f>
        <v>3.0000000000000249E-2</v>
      </c>
      <c r="AR7" s="74">
        <f>'Avaliação e Simulações'!P22</f>
        <v>3.0000000000000249E-2</v>
      </c>
      <c r="AS7" s="74">
        <f>'Avaliação e Simulações'!Q22</f>
        <v>3.0000000000000249E-2</v>
      </c>
      <c r="AT7" s="74">
        <f>'Avaliação e Simulações'!R22</f>
        <v>3.0000000000000249E-2</v>
      </c>
      <c r="AU7" s="74">
        <f>'Avaliação e Simulações'!S22</f>
        <v>3.0000000000000249E-2</v>
      </c>
      <c r="AV7" s="74">
        <f>'Avaliação e Simulações'!T22</f>
        <v>3.0000000000000249E-2</v>
      </c>
      <c r="AW7" s="74">
        <f>'Avaliação e Simulações'!U22</f>
        <v>3.0000000000000249E-2</v>
      </c>
      <c r="AX7" s="74">
        <f>'Avaliação e Simulações'!V22</f>
        <v>3.0000000000000249E-2</v>
      </c>
      <c r="AY7" s="74">
        <f>'Avaliação e Simulações'!W22</f>
        <v>3.0000000000000249E-2</v>
      </c>
      <c r="AZ7" s="74">
        <f>'Avaliação e Simulações'!X22</f>
        <v>3.0000000000000249E-2</v>
      </c>
      <c r="BA7" s="74">
        <f>'Avaliação e Simulações'!Y22</f>
        <v>3.0000000000000249E-2</v>
      </c>
      <c r="BB7" s="74">
        <f>'Avaliação e Simulações'!Z22</f>
        <v>3.0000000000000249E-2</v>
      </c>
      <c r="BC7" s="74">
        <f>'Avaliação e Simulações'!AA22</f>
        <v>3.0000000000000249E-2</v>
      </c>
      <c r="BD7" s="74">
        <f>'Avaliação e Simulações'!AB22</f>
        <v>3.0000000000000249E-2</v>
      </c>
      <c r="BE7" s="74">
        <f>'Avaliação e Simulações'!AC22</f>
        <v>3.0000000000000249E-2</v>
      </c>
      <c r="BF7" s="74">
        <f>'Avaliação e Simulações'!AD22</f>
        <v>3.0000000000000249E-2</v>
      </c>
      <c r="BG7" s="74">
        <f>'Avaliação e Simulações'!AE22</f>
        <v>3.0000000000000249E-2</v>
      </c>
      <c r="BH7" s="74">
        <f>'Avaliação e Simulações'!AF22</f>
        <v>3.0000000000000249E-2</v>
      </c>
      <c r="BI7" s="74">
        <f>'Avaliação e Simulações'!AG22</f>
        <v>3.0000000000000249E-2</v>
      </c>
      <c r="BJ7" s="74">
        <f>'Avaliação e Simulações'!AH22</f>
        <v>3.0000000000000249E-2</v>
      </c>
      <c r="BK7" s="74">
        <f>'Avaliação e Simulações'!AI22</f>
        <v>3.0000000000000249E-2</v>
      </c>
      <c r="BL7" s="74">
        <f>'Avaliação e Simulações'!AJ22</f>
        <v>3.0000000000000249E-2</v>
      </c>
      <c r="BM7" s="74">
        <f>'Avaliação e Simulações'!AK22</f>
        <v>3.0000000000000249E-2</v>
      </c>
      <c r="BN7" s="74">
        <f>'Avaliação e Simulações'!AL22</f>
        <v>3.0000000000000249E-2</v>
      </c>
      <c r="BO7" s="74">
        <f>'Avaliação e Simulações'!AM22</f>
        <v>3.0000000000000249E-2</v>
      </c>
      <c r="BP7" s="74">
        <f>'Avaliação e Simulações'!AN22</f>
        <v>3.0000000000000249E-2</v>
      </c>
      <c r="BQ7" s="74">
        <f>'Avaliação e Simulações'!AO22</f>
        <v>3.0000000000000249E-2</v>
      </c>
      <c r="BR7" s="74">
        <f>'Avaliação e Simulações'!AP22</f>
        <v>3.0000000000000249E-2</v>
      </c>
      <c r="BS7" s="74">
        <f>'Avaliação e Simulações'!AQ22</f>
        <v>3.0000000000000249E-2</v>
      </c>
      <c r="BT7" s="74">
        <f>'Avaliação e Simulações'!AR22</f>
        <v>3.0000000000000249E-2</v>
      </c>
      <c r="BU7" s="74">
        <f>'Avaliação e Simulações'!AS22</f>
        <v>3.0000000000000249E-2</v>
      </c>
      <c r="BV7" s="74">
        <f>'Avaliação e Simulações'!AT22</f>
        <v>3.0000000000000249E-2</v>
      </c>
      <c r="BW7" s="74">
        <f>'Avaliação e Simulações'!AU22</f>
        <v>3.0000000000000249E-2</v>
      </c>
    </row>
    <row r="8" spans="1:75" s="27" customFormat="1" ht="13.8" x14ac:dyDescent="0.3"/>
    <row r="9" spans="1:75" s="225" customFormat="1" ht="13.8" x14ac:dyDescent="0.3">
      <c r="A9" s="225" t="s">
        <v>135</v>
      </c>
    </row>
    <row r="11" spans="1:75" s="34" customFormat="1" x14ac:dyDescent="0.3">
      <c r="A11" s="4" t="s">
        <v>1160</v>
      </c>
      <c r="B11" s="4"/>
      <c r="C11" s="4"/>
      <c r="D11" s="4"/>
      <c r="E11" s="4"/>
      <c r="F11" s="4"/>
      <c r="G11" s="4"/>
      <c r="H11" s="4"/>
      <c r="I11" s="4"/>
      <c r="J11" s="4"/>
      <c r="K11" s="4"/>
      <c r="L11" s="4"/>
      <c r="M11" s="4"/>
      <c r="N11" s="4"/>
      <c r="O11" s="4"/>
      <c r="P11" s="4"/>
      <c r="Q11" s="4"/>
      <c r="R11" s="4"/>
      <c r="S11" s="4"/>
      <c r="T11" s="4"/>
      <c r="U11" s="4"/>
      <c r="V11" s="4"/>
      <c r="W11" s="4"/>
      <c r="X11" s="4"/>
      <c r="Y11" s="4"/>
      <c r="Z11" s="4"/>
      <c r="AF11" s="69">
        <f ca="1">IFERROR(AF12/AF13,0)</f>
        <v>5.6073426911616042E-2</v>
      </c>
      <c r="AG11" s="69">
        <f t="shared" ref="AG11:BW11" ca="1" si="2">IFERROR(AG12/AG13,0)</f>
        <v>7.9187401386018555E-2</v>
      </c>
      <c r="AH11" s="69">
        <f t="shared" ca="1" si="2"/>
        <v>9.1932449877586891E-2</v>
      </c>
      <c r="AI11" s="69">
        <f t="shared" ca="1" si="2"/>
        <v>0.10732825534728185</v>
      </c>
      <c r="AJ11" s="69">
        <f t="shared" ca="1" si="2"/>
        <v>0.11912232529878741</v>
      </c>
      <c r="AK11" s="69">
        <f t="shared" ca="1" si="2"/>
        <v>0.13752071644382052</v>
      </c>
      <c r="AL11" s="69">
        <f t="shared" ca="1" si="2"/>
        <v>0.14399867262995752</v>
      </c>
      <c r="AM11" s="69">
        <f t="shared" ca="1" si="2"/>
        <v>0.14136719115440347</v>
      </c>
      <c r="AN11" s="69">
        <f t="shared" ca="1" si="2"/>
        <v>0.14109044896089068</v>
      </c>
      <c r="AO11" s="69">
        <f t="shared" ca="1" si="2"/>
        <v>0.14259275751601697</v>
      </c>
      <c r="AP11" s="69">
        <f t="shared" ca="1" si="2"/>
        <v>0.14571530334963356</v>
      </c>
      <c r="AQ11" s="69">
        <f t="shared" ca="1" si="2"/>
        <v>0.14758369983567107</v>
      </c>
      <c r="AR11" s="69">
        <f t="shared" ca="1" si="2"/>
        <v>0.14758910308368026</v>
      </c>
      <c r="AS11" s="69">
        <f t="shared" ca="1" si="2"/>
        <v>0.14831842578720936</v>
      </c>
      <c r="AT11" s="69">
        <f t="shared" ca="1" si="2"/>
        <v>0.1530047296593228</v>
      </c>
      <c r="AU11" s="69">
        <f t="shared" ca="1" si="2"/>
        <v>0.1559520301895867</v>
      </c>
      <c r="AV11" s="69">
        <f t="shared" ca="1" si="2"/>
        <v>0.14524574346664784</v>
      </c>
      <c r="AW11" s="69">
        <f t="shared" ca="1" si="2"/>
        <v>0.14887876326693555</v>
      </c>
      <c r="AX11" s="69">
        <f t="shared" ca="1" si="2"/>
        <v>0.15370058873002523</v>
      </c>
      <c r="AY11" s="69">
        <f t="shared" ca="1" si="2"/>
        <v>0.15881509794553272</v>
      </c>
      <c r="AZ11" s="69">
        <f t="shared" ca="1" si="2"/>
        <v>0.1676701124616608</v>
      </c>
      <c r="BA11" s="69">
        <f t="shared" ca="1" si="2"/>
        <v>0.17496929166097994</v>
      </c>
      <c r="BB11" s="69">
        <f t="shared" ca="1" si="2"/>
        <v>0.192191894127378</v>
      </c>
      <c r="BC11" s="69">
        <f t="shared" ca="1" si="2"/>
        <v>0.21813564875491481</v>
      </c>
      <c r="BD11" s="69">
        <f t="shared" ca="1" si="2"/>
        <v>0.25746464117338919</v>
      </c>
      <c r="BE11" s="69">
        <f t="shared" ca="1" si="2"/>
        <v>0.30384479717813051</v>
      </c>
      <c r="BF11" s="69">
        <f t="shared" ca="1" si="2"/>
        <v>0.39775030401297123</v>
      </c>
      <c r="BG11" s="69">
        <f t="shared" ca="1" si="2"/>
        <v>0.61467272421336028</v>
      </c>
      <c r="BH11" s="69">
        <f t="shared" ca="1" si="2"/>
        <v>1</v>
      </c>
      <c r="BI11" s="69">
        <f t="shared" ca="1" si="2"/>
        <v>0</v>
      </c>
      <c r="BJ11" s="69">
        <f t="shared" ca="1" si="2"/>
        <v>0</v>
      </c>
      <c r="BK11" s="69">
        <f t="shared" ca="1" si="2"/>
        <v>0</v>
      </c>
      <c r="BL11" s="69">
        <f t="shared" ca="1" si="2"/>
        <v>0</v>
      </c>
      <c r="BM11" s="69">
        <f t="shared" ca="1" si="2"/>
        <v>0</v>
      </c>
      <c r="BN11" s="69">
        <f t="shared" ca="1" si="2"/>
        <v>0</v>
      </c>
      <c r="BO11" s="69">
        <f t="shared" ca="1" si="2"/>
        <v>0</v>
      </c>
      <c r="BP11" s="69">
        <f t="shared" ca="1" si="2"/>
        <v>0</v>
      </c>
      <c r="BQ11" s="69">
        <f t="shared" ca="1" si="2"/>
        <v>0</v>
      </c>
      <c r="BR11" s="69">
        <f t="shared" ca="1" si="2"/>
        <v>0</v>
      </c>
      <c r="BS11" s="69">
        <f t="shared" ca="1" si="2"/>
        <v>0</v>
      </c>
      <c r="BT11" s="69">
        <f t="shared" ca="1" si="2"/>
        <v>0</v>
      </c>
      <c r="BU11" s="69">
        <f t="shared" ca="1" si="2"/>
        <v>0</v>
      </c>
      <c r="BV11" s="69">
        <f t="shared" ca="1" si="2"/>
        <v>0</v>
      </c>
      <c r="BW11" s="69">
        <f t="shared" si="2"/>
        <v>0</v>
      </c>
    </row>
    <row r="12" spans="1:75" x14ac:dyDescent="0.3">
      <c r="A12" s="5" t="s">
        <v>1158</v>
      </c>
      <c r="AF12" s="51">
        <f ca="1">'Receita Líquida - O&amp;G'!AG7+'Receita Líquida - O&amp;G'!AG49*0.17245496</f>
        <v>43519.177991999997</v>
      </c>
      <c r="AG12" s="51">
        <f ca="1">'Receita Líquida - O&amp;G'!AH7+'Receita Líquida - O&amp;G'!AH49*0.17245496</f>
        <v>58012.006732319998</v>
      </c>
      <c r="AH12" s="51">
        <f ca="1">'Receita Líquida - O&amp;G'!AI7+'Receita Líquida - O&amp;G'!AI49*0.17245496</f>
        <v>62015.733344399996</v>
      </c>
      <c r="AI12" s="51">
        <f ca="1">'Receita Líquida - O&amp;G'!AJ7+'Receita Líquida - O&amp;G'!AJ49*0.17245496</f>
        <v>65745.385504799997</v>
      </c>
      <c r="AJ12" s="51">
        <f ca="1">'Receita Líquida - O&amp;G'!AK7+'Receita Líquida - O&amp;G'!AK49*0.17245496</f>
        <v>65138.260586639997</v>
      </c>
      <c r="AK12" s="51">
        <f ca="1">'Receita Líquida - O&amp;G'!AL7+'Receita Líquida - O&amp;G'!AL49*0.17245496</f>
        <v>66240.976237359995</v>
      </c>
      <c r="AL12" s="51">
        <f ca="1">'Receita Líquida - O&amp;G'!AM7+'Receita Líquida - O&amp;G'!AM49*0.17245496</f>
        <v>59822.66540536</v>
      </c>
      <c r="AM12" s="51">
        <f ca="1">'Receita Líquida - O&amp;G'!AN7+'Receita Líquida - O&amp;G'!AN49*0.17245496</f>
        <v>50272.483181440002</v>
      </c>
      <c r="AN12" s="51">
        <f ca="1">'Receita Líquida - O&amp;G'!AO7+'Receita Líquida - O&amp;G'!AO49*0.17245496</f>
        <v>43081.101912879996</v>
      </c>
      <c r="AO12" s="51">
        <f ca="1">'Receita Líquida - O&amp;G'!AP7+'Receita Líquida - O&amp;G'!AP49*0.17245496</f>
        <v>37396.769483359996</v>
      </c>
      <c r="AP12" s="51">
        <f ca="1">'Receita Líquida - O&amp;G'!AQ7+'Receita Líquida - O&amp;G'!AQ49*0.17245496</f>
        <v>32766.415347919999</v>
      </c>
      <c r="AQ12" s="51">
        <f ca="1">'Receita Líquida - O&amp;G'!AR7+'Receita Líquida - O&amp;G'!AR49*0.17245496</f>
        <v>28350.7653584</v>
      </c>
      <c r="AR12" s="51">
        <f ca="1">'Receita Líquida - O&amp;G'!AS7+'Receita Líquida - O&amp;G'!AS49*0.17245496</f>
        <v>24167.53928904</v>
      </c>
      <c r="AS12" s="51">
        <f ca="1">'Receita Líquida - O&amp;G'!AT7+'Receita Líquida - O&amp;G'!AT49*0.17245496</f>
        <v>20702.473627840001</v>
      </c>
      <c r="AT12" s="51">
        <f ca="1">'Receita Líquida - O&amp;G'!AU7+'Receita Líquida - O&amp;G'!AU49*0.17245496</f>
        <v>18189.017474</v>
      </c>
      <c r="AU12" s="51">
        <f ca="1">'Receita Líquida - O&amp;G'!AV7+'Receita Líquida - O&amp;G'!AV49*0.17245496</f>
        <v>15702.77479928</v>
      </c>
      <c r="AV12" s="51">
        <f ca="1">'Receita Líquida - O&amp;G'!AW7+'Receita Líquida - O&amp;G'!AW49*0.17245496</f>
        <v>12344</v>
      </c>
      <c r="AW12" s="51">
        <f ca="1">'Receita Líquida - O&amp;G'!AX7+'Receita Líquida - O&amp;G'!AX49*0.17245496</f>
        <v>10815</v>
      </c>
      <c r="AX12" s="51">
        <f ca="1">'Receita Líquida - O&amp;G'!AY7+'Receita Líquida - O&amp;G'!AY49*0.17245496</f>
        <v>9503</v>
      </c>
      <c r="AY12" s="51">
        <f ca="1">'Receita Líquida - O&amp;G'!AZ7+'Receita Líquida - O&amp;G'!AZ49*0.17245496</f>
        <v>8310</v>
      </c>
      <c r="AZ12" s="51">
        <f ca="1">'Receita Líquida - O&amp;G'!BA7+'Receita Líquida - O&amp;G'!BA49*0.17245496</f>
        <v>7380</v>
      </c>
      <c r="BA12" s="51">
        <f ca="1">'Receita Líquida - O&amp;G'!BB7+'Receita Líquida - O&amp;G'!BB49*0.17245496</f>
        <v>6410</v>
      </c>
      <c r="BB12" s="51">
        <f ca="1">'Receita Líquida - O&amp;G'!BC7+'Receita Líquida - O&amp;G'!BC49*0.17245496</f>
        <v>5809</v>
      </c>
      <c r="BC12" s="51">
        <f ca="1">'Receita Líquida - O&amp;G'!BD7+'Receita Líquida - O&amp;G'!BD49*0.17245496</f>
        <v>5326</v>
      </c>
      <c r="BD12" s="51">
        <f ca="1">'Receita Líquida - O&amp;G'!BE7+'Receita Líquida - O&amp;G'!BE49*0.17245496</f>
        <v>4915</v>
      </c>
      <c r="BE12" s="51">
        <f ca="1">'Receita Líquida - O&amp;G'!BF7+'Receita Líquida - O&amp;G'!BF49*0.17245496</f>
        <v>4307</v>
      </c>
      <c r="BF12" s="51">
        <f ca="1">'Receita Líquida - O&amp;G'!BG7+'Receita Líquida - O&amp;G'!BG49*0.17245496</f>
        <v>3925</v>
      </c>
      <c r="BG12" s="51">
        <f ca="1">'Receita Líquida - O&amp;G'!BH7+'Receita Líquida - O&amp;G'!BH49*0.17245496</f>
        <v>3653</v>
      </c>
      <c r="BH12" s="51">
        <f ca="1">'Receita Líquida - O&amp;G'!BI7+'Receita Líquida - O&amp;G'!BI49*0.17245496</f>
        <v>2290</v>
      </c>
      <c r="BI12" s="51">
        <f ca="1">'Receita Líquida - O&amp;G'!BJ7+'Receita Líquida - O&amp;G'!BJ49*0.17245496</f>
        <v>0</v>
      </c>
      <c r="BJ12" s="51">
        <f ca="1">'Receita Líquida - O&amp;G'!BK7+'Receita Líquida - O&amp;G'!BK49*0.17245496</f>
        <v>0</v>
      </c>
      <c r="BK12" s="51">
        <f ca="1">'Receita Líquida - O&amp;G'!BL7+'Receita Líquida - O&amp;G'!BL49*0.17245496</f>
        <v>0</v>
      </c>
      <c r="BL12" s="51">
        <f ca="1">'Receita Líquida - O&amp;G'!BM7+'Receita Líquida - O&amp;G'!BM49*0.17245496</f>
        <v>0</v>
      </c>
      <c r="BM12" s="51">
        <f ca="1">'Receita Líquida - O&amp;G'!BN7+'Receita Líquida - O&amp;G'!BN49*0.17245496</f>
        <v>0</v>
      </c>
      <c r="BN12" s="51">
        <f ca="1">'Receita Líquida - O&amp;G'!BO7+'Receita Líquida - O&amp;G'!BO49*0.17245496</f>
        <v>0</v>
      </c>
      <c r="BO12" s="51">
        <f ca="1">'Receita Líquida - O&amp;G'!BP7+'Receita Líquida - O&amp;G'!BP49*0.17245496</f>
        <v>0</v>
      </c>
      <c r="BP12" s="51">
        <f ca="1">'Receita Líquida - O&amp;G'!BQ7+'Receita Líquida - O&amp;G'!BQ49*0.17245496</f>
        <v>0</v>
      </c>
      <c r="BQ12" s="51">
        <f ca="1">'Receita Líquida - O&amp;G'!BR7+'Receita Líquida - O&amp;G'!BR49*0.17245496</f>
        <v>0</v>
      </c>
      <c r="BR12" s="51">
        <f ca="1">'Receita Líquida - O&amp;G'!BS7+'Receita Líquida - O&amp;G'!BS49*0.17245496</f>
        <v>0</v>
      </c>
      <c r="BS12" s="51">
        <f ca="1">'Receita Líquida - O&amp;G'!BT7+'Receita Líquida - O&amp;G'!BT49*0.17245496</f>
        <v>0</v>
      </c>
      <c r="BT12" s="51">
        <f ca="1">'Receita Líquida - O&amp;G'!BU7+'Receita Líquida - O&amp;G'!BU49*0.17245496</f>
        <v>0</v>
      </c>
      <c r="BU12" s="51">
        <f ca="1">'Receita Líquida - O&amp;G'!BV7+'Receita Líquida - O&amp;G'!BV49*0.17245496</f>
        <v>0</v>
      </c>
      <c r="BV12" s="51">
        <f ca="1">'Receita Líquida - O&amp;G'!BW7+'Receita Líquida - O&amp;G'!BW49*0.17245496</f>
        <v>0</v>
      </c>
      <c r="BW12" s="51">
        <f>'Receita Líquida - O&amp;G'!BX7+'Receita Líquida - O&amp;G'!BX49*0.17245496</f>
        <v>0</v>
      </c>
    </row>
    <row r="13" spans="1:75" x14ac:dyDescent="0.3">
      <c r="A13" s="5" t="s">
        <v>1159</v>
      </c>
      <c r="AF13" s="51">
        <f ca="1">SUM(AF12:$BW$12)</f>
        <v>776110.54627703992</v>
      </c>
      <c r="AG13" s="51">
        <f ca="1">SUM(AG12:$BW$12)</f>
        <v>732591.36828503991</v>
      </c>
      <c r="AH13" s="51">
        <f ca="1">SUM(AH12:$BW$12)</f>
        <v>674579.36155271996</v>
      </c>
      <c r="AI13" s="51">
        <f ca="1">SUM(AI12:$BW$12)</f>
        <v>612563.62820832001</v>
      </c>
      <c r="AJ13" s="51">
        <f ca="1">SUM(AJ12:$BW$12)</f>
        <v>546818.24270351999</v>
      </c>
      <c r="AK13" s="51">
        <f ca="1">SUM(AK12:$BW$12)</f>
        <v>481679.98211688001</v>
      </c>
      <c r="AL13" s="51">
        <f ca="1">SUM(AL12:$BW$12)</f>
        <v>415439.00587951997</v>
      </c>
      <c r="AM13" s="51">
        <f ca="1">SUM(AM12:$BW$12)</f>
        <v>355616.34047415998</v>
      </c>
      <c r="AN13" s="51">
        <f ca="1">SUM(AN12:$BW$12)</f>
        <v>305343.85729272</v>
      </c>
      <c r="AO13" s="51">
        <f ca="1">SUM(AO12:$BW$12)</f>
        <v>262262.75537983997</v>
      </c>
      <c r="AP13" s="51">
        <f ca="1">SUM(AP12:$BW$12)</f>
        <v>224865.98589647998</v>
      </c>
      <c r="AQ13" s="51">
        <f ca="1">SUM(AQ12:$BW$12)</f>
        <v>192099.57054856</v>
      </c>
      <c r="AR13" s="51">
        <f ca="1">SUM(AR12:$BW$12)</f>
        <v>163748.80519016</v>
      </c>
      <c r="AS13" s="51">
        <f ca="1">SUM(AS12:$BW$12)</f>
        <v>139581.26590112</v>
      </c>
      <c r="AT13" s="51">
        <f ca="1">SUM(AT12:$BW$12)</f>
        <v>118878.79227328001</v>
      </c>
      <c r="AU13" s="51">
        <f ca="1">SUM(AU12:$BW$12)</f>
        <v>100689.77479928</v>
      </c>
      <c r="AV13" s="51">
        <f ca="1">SUM(AV12:$BW$12)</f>
        <v>84987</v>
      </c>
      <c r="AW13" s="51">
        <f ca="1">SUM(AW12:$BW$12)</f>
        <v>72643</v>
      </c>
      <c r="AX13" s="51">
        <f ca="1">SUM(AX12:$BW$12)</f>
        <v>61828</v>
      </c>
      <c r="AY13" s="51">
        <f ca="1">SUM(AY12:$BW$12)</f>
        <v>52325</v>
      </c>
      <c r="AZ13" s="51">
        <f ca="1">SUM(AZ12:$BW$12)</f>
        <v>44015</v>
      </c>
      <c r="BA13" s="51">
        <f ca="1">SUM(BA12:$BW$12)</f>
        <v>36635</v>
      </c>
      <c r="BB13" s="51">
        <f ca="1">SUM(BB12:$BW$12)</f>
        <v>30225</v>
      </c>
      <c r="BC13" s="51">
        <f ca="1">SUM(BC12:$BW$12)</f>
        <v>24416</v>
      </c>
      <c r="BD13" s="51">
        <f ca="1">SUM(BD12:$BW$12)</f>
        <v>19090</v>
      </c>
      <c r="BE13" s="51">
        <f ca="1">SUM(BE12:$BW$12)</f>
        <v>14175</v>
      </c>
      <c r="BF13" s="51">
        <f ca="1">SUM(BF12:$BW$12)</f>
        <v>9868</v>
      </c>
      <c r="BG13" s="51">
        <f ca="1">SUM(BG12:$BW$12)</f>
        <v>5943</v>
      </c>
      <c r="BH13" s="51">
        <f ca="1">SUM(BH12:$BW$12)</f>
        <v>2290</v>
      </c>
      <c r="BI13" s="51">
        <f ca="1">SUM(BI12:$BW$12)</f>
        <v>0</v>
      </c>
      <c r="BJ13" s="51">
        <f ca="1">SUM(BJ12:$BW$12)</f>
        <v>0</v>
      </c>
      <c r="BK13" s="51">
        <f ca="1">SUM(BK12:$BW$12)</f>
        <v>0</v>
      </c>
      <c r="BL13" s="51">
        <f ca="1">SUM(BL12:$BW$12)</f>
        <v>0</v>
      </c>
      <c r="BM13" s="51">
        <f ca="1">SUM(BM12:$BW$12)</f>
        <v>0</v>
      </c>
      <c r="BN13" s="51">
        <f ca="1">SUM(BN12:$BW$12)</f>
        <v>0</v>
      </c>
      <c r="BO13" s="51">
        <f ca="1">SUM(BO12:$BW$12)</f>
        <v>0</v>
      </c>
      <c r="BP13" s="51">
        <f ca="1">SUM(BP12:$BW$12)</f>
        <v>0</v>
      </c>
      <c r="BQ13" s="51">
        <f ca="1">SUM(BQ12:$BW$12)</f>
        <v>0</v>
      </c>
      <c r="BR13" s="51">
        <f ca="1">SUM(BR12:$BW$12)</f>
        <v>0</v>
      </c>
      <c r="BS13" s="51">
        <f ca="1">SUM(BS12:$BW$12)</f>
        <v>0</v>
      </c>
      <c r="BT13" s="51">
        <f ca="1">SUM(BT12:$BW$12)</f>
        <v>0</v>
      </c>
      <c r="BU13" s="51">
        <f ca="1">SUM(BU12:$BW$12)</f>
        <v>0</v>
      </c>
      <c r="BV13" s="51">
        <f ca="1">SUM(BV12:$BW$12)</f>
        <v>0</v>
      </c>
      <c r="BW13" s="51">
        <f>SUM(BW12:$BW$12)</f>
        <v>0</v>
      </c>
    </row>
    <row r="14" spans="1:75" s="34" customFormat="1" x14ac:dyDescent="0.3">
      <c r="A14" s="4" t="s">
        <v>1164</v>
      </c>
      <c r="B14" s="4"/>
      <c r="C14" s="4"/>
      <c r="D14" s="4"/>
      <c r="E14" s="4"/>
      <c r="F14" s="4"/>
      <c r="G14" s="4"/>
      <c r="H14" s="4"/>
      <c r="I14" s="4"/>
      <c r="J14" s="4"/>
      <c r="K14" s="4"/>
      <c r="L14" s="4"/>
      <c r="M14" s="4"/>
      <c r="N14" s="4"/>
      <c r="O14" s="4"/>
      <c r="P14" s="4"/>
      <c r="Q14" s="4"/>
      <c r="R14" s="4"/>
      <c r="S14" s="4"/>
      <c r="T14" s="4"/>
      <c r="U14" s="4"/>
      <c r="V14" s="4"/>
      <c r="W14" s="4"/>
      <c r="X14" s="4"/>
      <c r="Y14" s="4"/>
      <c r="Z14" s="4"/>
      <c r="AF14" s="69">
        <f>SUMPRODUCT(AF36:AF41,B36:B41)/SUM(AF36:AF41)/100</f>
        <v>3.356838822588893E-2</v>
      </c>
      <c r="AG14" s="69">
        <f>AF14</f>
        <v>3.356838822588893E-2</v>
      </c>
      <c r="AH14" s="69">
        <f t="shared" ref="AH14:BW14" si="3">AG14</f>
        <v>3.356838822588893E-2</v>
      </c>
      <c r="AI14" s="69">
        <f t="shared" si="3"/>
        <v>3.356838822588893E-2</v>
      </c>
      <c r="AJ14" s="69">
        <f t="shared" si="3"/>
        <v>3.356838822588893E-2</v>
      </c>
      <c r="AK14" s="69">
        <f t="shared" si="3"/>
        <v>3.356838822588893E-2</v>
      </c>
      <c r="AL14" s="69">
        <f t="shared" si="3"/>
        <v>3.356838822588893E-2</v>
      </c>
      <c r="AM14" s="69">
        <f t="shared" si="3"/>
        <v>3.356838822588893E-2</v>
      </c>
      <c r="AN14" s="69">
        <f t="shared" si="3"/>
        <v>3.356838822588893E-2</v>
      </c>
      <c r="AO14" s="69">
        <f t="shared" si="3"/>
        <v>3.356838822588893E-2</v>
      </c>
      <c r="AP14" s="69">
        <f t="shared" si="3"/>
        <v>3.356838822588893E-2</v>
      </c>
      <c r="AQ14" s="69">
        <f t="shared" si="3"/>
        <v>3.356838822588893E-2</v>
      </c>
      <c r="AR14" s="69">
        <f t="shared" si="3"/>
        <v>3.356838822588893E-2</v>
      </c>
      <c r="AS14" s="69">
        <f t="shared" si="3"/>
        <v>3.356838822588893E-2</v>
      </c>
      <c r="AT14" s="69">
        <f t="shared" si="3"/>
        <v>3.356838822588893E-2</v>
      </c>
      <c r="AU14" s="69">
        <f t="shared" si="3"/>
        <v>3.356838822588893E-2</v>
      </c>
      <c r="AV14" s="69">
        <f t="shared" si="3"/>
        <v>3.356838822588893E-2</v>
      </c>
      <c r="AW14" s="69">
        <f t="shared" si="3"/>
        <v>3.356838822588893E-2</v>
      </c>
      <c r="AX14" s="69">
        <f t="shared" si="3"/>
        <v>3.356838822588893E-2</v>
      </c>
      <c r="AY14" s="69">
        <f t="shared" si="3"/>
        <v>3.356838822588893E-2</v>
      </c>
      <c r="AZ14" s="69">
        <f t="shared" si="3"/>
        <v>3.356838822588893E-2</v>
      </c>
      <c r="BA14" s="69">
        <f t="shared" si="3"/>
        <v>3.356838822588893E-2</v>
      </c>
      <c r="BB14" s="69">
        <f t="shared" si="3"/>
        <v>3.356838822588893E-2</v>
      </c>
      <c r="BC14" s="69">
        <f t="shared" si="3"/>
        <v>3.356838822588893E-2</v>
      </c>
      <c r="BD14" s="69">
        <f t="shared" si="3"/>
        <v>3.356838822588893E-2</v>
      </c>
      <c r="BE14" s="69">
        <f t="shared" si="3"/>
        <v>3.356838822588893E-2</v>
      </c>
      <c r="BF14" s="69">
        <f t="shared" si="3"/>
        <v>3.356838822588893E-2</v>
      </c>
      <c r="BG14" s="69">
        <f t="shared" si="3"/>
        <v>3.356838822588893E-2</v>
      </c>
      <c r="BH14" s="69">
        <f t="shared" si="3"/>
        <v>3.356838822588893E-2</v>
      </c>
      <c r="BI14" s="69">
        <f t="shared" si="3"/>
        <v>3.356838822588893E-2</v>
      </c>
      <c r="BJ14" s="69">
        <f t="shared" si="3"/>
        <v>3.356838822588893E-2</v>
      </c>
      <c r="BK14" s="69">
        <f t="shared" si="3"/>
        <v>3.356838822588893E-2</v>
      </c>
      <c r="BL14" s="69">
        <f t="shared" si="3"/>
        <v>3.356838822588893E-2</v>
      </c>
      <c r="BM14" s="69">
        <f t="shared" si="3"/>
        <v>3.356838822588893E-2</v>
      </c>
      <c r="BN14" s="69">
        <f t="shared" si="3"/>
        <v>3.356838822588893E-2</v>
      </c>
      <c r="BO14" s="69">
        <f t="shared" si="3"/>
        <v>3.356838822588893E-2</v>
      </c>
      <c r="BP14" s="69">
        <f t="shared" si="3"/>
        <v>3.356838822588893E-2</v>
      </c>
      <c r="BQ14" s="69">
        <f t="shared" si="3"/>
        <v>3.356838822588893E-2</v>
      </c>
      <c r="BR14" s="69">
        <f t="shared" si="3"/>
        <v>3.356838822588893E-2</v>
      </c>
      <c r="BS14" s="69">
        <f t="shared" si="3"/>
        <v>3.356838822588893E-2</v>
      </c>
      <c r="BT14" s="69">
        <f t="shared" si="3"/>
        <v>3.356838822588893E-2</v>
      </c>
      <c r="BU14" s="69">
        <f t="shared" si="3"/>
        <v>3.356838822588893E-2</v>
      </c>
      <c r="BV14" s="69">
        <f t="shared" si="3"/>
        <v>3.356838822588893E-2</v>
      </c>
      <c r="BW14" s="69">
        <f t="shared" si="3"/>
        <v>3.356838822588893E-2</v>
      </c>
    </row>
    <row r="16" spans="1:75" s="34" customFormat="1" x14ac:dyDescent="0.3">
      <c r="A16" s="4" t="s">
        <v>1155</v>
      </c>
      <c r="B16" s="4"/>
      <c r="C16" s="4"/>
      <c r="D16" s="4"/>
      <c r="E16" s="4"/>
      <c r="F16" s="4"/>
      <c r="G16" s="4"/>
      <c r="H16" s="4"/>
      <c r="I16" s="4"/>
      <c r="J16" s="4"/>
      <c r="K16" s="4"/>
      <c r="L16" s="4"/>
      <c r="M16" s="4"/>
      <c r="N16" s="4"/>
      <c r="O16" s="4"/>
      <c r="P16" s="4"/>
      <c r="Q16" s="4"/>
      <c r="R16" s="4"/>
      <c r="S16" s="4"/>
      <c r="T16" s="4"/>
      <c r="U16" s="4"/>
      <c r="V16" s="4"/>
      <c r="W16" s="4"/>
      <c r="X16" s="4"/>
      <c r="Y16" s="4"/>
      <c r="Z16" s="4"/>
      <c r="AF16" s="48">
        <f>'Balanço Planilhado'!AF31</f>
        <v>9425118</v>
      </c>
      <c r="AG16" s="48">
        <f ca="1">SUM(AG17:AG18)</f>
        <v>10712373.093454566</v>
      </c>
      <c r="AH16" s="48">
        <f t="shared" ref="AH16:BW16" ca="1" si="4">SUM(AH17:AH18)</f>
        <v>11759458.400594095</v>
      </c>
      <c r="AI16" s="48">
        <f t="shared" ca="1" si="4"/>
        <v>12152169.045969533</v>
      </c>
      <c r="AJ16" s="48">
        <f t="shared" ca="1" si="4"/>
        <v>12359828.336814087</v>
      </c>
      <c r="AK16" s="48">
        <f t="shared" ca="1" si="4"/>
        <v>12011613.909347329</v>
      </c>
      <c r="AL16" s="48">
        <f t="shared" ca="1" si="4"/>
        <v>11689149.838452619</v>
      </c>
      <c r="AM16" s="48">
        <f t="shared" ca="1" si="4"/>
        <v>10314197.803534396</v>
      </c>
      <c r="AN16" s="48">
        <f t="shared" ca="1" si="4"/>
        <v>9143430.6870687343</v>
      </c>
      <c r="AO16" s="48">
        <f t="shared" ca="1" si="4"/>
        <v>8131828.5622944301</v>
      </c>
      <c r="AP16" s="48">
        <f t="shared" ca="1" si="4"/>
        <v>7247492.4772802442</v>
      </c>
      <c r="AQ16" s="48">
        <f t="shared" ca="1" si="4"/>
        <v>6486746.4430551575</v>
      </c>
      <c r="AR16" s="48">
        <f t="shared" ca="1" si="4"/>
        <v>5846165.2513176044</v>
      </c>
      <c r="AS16" s="48">
        <f t="shared" ca="1" si="4"/>
        <v>5304259.0376492692</v>
      </c>
      <c r="AT16" s="48">
        <f t="shared" ca="1" si="4"/>
        <v>4716045.3644397371</v>
      </c>
      <c r="AU16" s="48">
        <f t="shared" ca="1" si="4"/>
        <v>4210144.6529039787</v>
      </c>
      <c r="AV16" s="48">
        <f t="shared" ca="1" si="4"/>
        <v>3830457.2189468206</v>
      </c>
      <c r="AW16" s="48">
        <f t="shared" ca="1" si="4"/>
        <v>3498745.7076198594</v>
      </c>
      <c r="AX16" s="48">
        <f t="shared" ca="1" si="4"/>
        <v>3206804.5654757586</v>
      </c>
      <c r="AY16" s="48">
        <f t="shared" ca="1" si="4"/>
        <v>2950868.3843430793</v>
      </c>
      <c r="AZ16" s="48">
        <f t="shared" ca="1" si="4"/>
        <v>2718273.7968699951</v>
      </c>
      <c r="BA16" s="48">
        <f t="shared" ca="1" si="4"/>
        <v>2513395.3889857838</v>
      </c>
      <c r="BB16" s="48">
        <f t="shared" ca="1" si="4"/>
        <v>2312799.4689431032</v>
      </c>
      <c r="BC16" s="48">
        <f t="shared" ca="1" si="4"/>
        <v>2105319.3797706757</v>
      </c>
      <c r="BD16" s="48">
        <f t="shared" ca="1" si="4"/>
        <v>1879081.7621297701</v>
      </c>
      <c r="BE16" s="48">
        <f t="shared" ca="1" si="4"/>
        <v>1645076.9957952136</v>
      </c>
      <c r="BF16" s="48">
        <f t="shared" ca="1" si="4"/>
        <v>1363348.8665936277</v>
      </c>
      <c r="BG16" s="48">
        <f t="shared" ca="1" si="4"/>
        <v>710623.065370925</v>
      </c>
      <c r="BH16" s="48">
        <f t="shared" ca="1" si="4"/>
        <v>301441</v>
      </c>
      <c r="BI16" s="48">
        <f t="shared" ca="1" si="4"/>
        <v>301441</v>
      </c>
      <c r="BJ16" s="48">
        <f t="shared" ca="1" si="4"/>
        <v>301441</v>
      </c>
      <c r="BK16" s="48">
        <f t="shared" ca="1" si="4"/>
        <v>301441</v>
      </c>
      <c r="BL16" s="48">
        <f t="shared" ca="1" si="4"/>
        <v>301441</v>
      </c>
      <c r="BM16" s="48">
        <f t="shared" ca="1" si="4"/>
        <v>301441</v>
      </c>
      <c r="BN16" s="48">
        <f t="shared" ca="1" si="4"/>
        <v>301441</v>
      </c>
      <c r="BO16" s="48">
        <f t="shared" ca="1" si="4"/>
        <v>301441</v>
      </c>
      <c r="BP16" s="48">
        <f t="shared" ca="1" si="4"/>
        <v>301441</v>
      </c>
      <c r="BQ16" s="48">
        <f t="shared" ca="1" si="4"/>
        <v>301441</v>
      </c>
      <c r="BR16" s="48">
        <f t="shared" ca="1" si="4"/>
        <v>301441</v>
      </c>
      <c r="BS16" s="48">
        <f t="shared" ca="1" si="4"/>
        <v>301441</v>
      </c>
      <c r="BT16" s="48">
        <f t="shared" ca="1" si="4"/>
        <v>301441</v>
      </c>
      <c r="BU16" s="48">
        <f t="shared" ca="1" si="4"/>
        <v>301441</v>
      </c>
      <c r="BV16" s="48">
        <f t="shared" ca="1" si="4"/>
        <v>301441</v>
      </c>
      <c r="BW16" s="48">
        <f t="shared" ca="1" si="4"/>
        <v>301441</v>
      </c>
    </row>
    <row r="17" spans="1:75" x14ac:dyDescent="0.3">
      <c r="A17" s="5" t="s">
        <v>1167</v>
      </c>
      <c r="AF17" s="51">
        <f>SUM(AF29:AF35,AF44:AF49)</f>
        <v>9123682.8699999992</v>
      </c>
      <c r="AG17" s="51">
        <f ca="1">AF17+AG21-AG24</f>
        <v>10410932.093454566</v>
      </c>
      <c r="AH17" s="51">
        <f t="shared" ref="AH17:BW17" ca="1" si="5">AG17+AH21-AH24</f>
        <v>11458017.400594095</v>
      </c>
      <c r="AI17" s="51">
        <f t="shared" ca="1" si="5"/>
        <v>11850728.045969533</v>
      </c>
      <c r="AJ17" s="51">
        <f t="shared" ca="1" si="5"/>
        <v>12058387.336814087</v>
      </c>
      <c r="AK17" s="51">
        <f t="shared" ca="1" si="5"/>
        <v>11710172.909347329</v>
      </c>
      <c r="AL17" s="51">
        <f t="shared" ca="1" si="5"/>
        <v>11387708.838452619</v>
      </c>
      <c r="AM17" s="51">
        <f t="shared" ca="1" si="5"/>
        <v>10012756.803534396</v>
      </c>
      <c r="AN17" s="51">
        <f t="shared" ca="1" si="5"/>
        <v>8841989.6870687343</v>
      </c>
      <c r="AO17" s="51">
        <f t="shared" ca="1" si="5"/>
        <v>7830387.5622944301</v>
      </c>
      <c r="AP17" s="51">
        <f t="shared" ca="1" si="5"/>
        <v>6946051.4772802442</v>
      </c>
      <c r="AQ17" s="51">
        <f t="shared" ca="1" si="5"/>
        <v>6185305.4430551575</v>
      </c>
      <c r="AR17" s="51">
        <f t="shared" ca="1" si="5"/>
        <v>5544724.2513176044</v>
      </c>
      <c r="AS17" s="51">
        <f t="shared" ca="1" si="5"/>
        <v>5002818.0376492692</v>
      </c>
      <c r="AT17" s="51">
        <f t="shared" ca="1" si="5"/>
        <v>4414604.3644397371</v>
      </c>
      <c r="AU17" s="51">
        <f t="shared" ca="1" si="5"/>
        <v>3908703.6529039787</v>
      </c>
      <c r="AV17" s="51">
        <f t="shared" ca="1" si="5"/>
        <v>3529016.2189468206</v>
      </c>
      <c r="AW17" s="51">
        <f t="shared" ca="1" si="5"/>
        <v>3197304.7076198594</v>
      </c>
      <c r="AX17" s="51">
        <f t="shared" ca="1" si="5"/>
        <v>2905363.5654757586</v>
      </c>
      <c r="AY17" s="51">
        <f t="shared" ca="1" si="5"/>
        <v>2649427.3843430793</v>
      </c>
      <c r="AZ17" s="51">
        <f t="shared" ca="1" si="5"/>
        <v>2416832.7968699951</v>
      </c>
      <c r="BA17" s="51">
        <f t="shared" ca="1" si="5"/>
        <v>2211954.3889857838</v>
      </c>
      <c r="BB17" s="51">
        <f t="shared" ca="1" si="5"/>
        <v>2011358.4689431034</v>
      </c>
      <c r="BC17" s="51">
        <f t="shared" ca="1" si="5"/>
        <v>1803878.3797706757</v>
      </c>
      <c r="BD17" s="51">
        <f t="shared" ca="1" si="5"/>
        <v>1577640.7621297701</v>
      </c>
      <c r="BE17" s="51">
        <f t="shared" ca="1" si="5"/>
        <v>1343635.9957952136</v>
      </c>
      <c r="BF17" s="51">
        <f t="shared" ca="1" si="5"/>
        <v>1061907.8665936277</v>
      </c>
      <c r="BG17" s="51">
        <f t="shared" ca="1" si="5"/>
        <v>409182.065370925</v>
      </c>
      <c r="BH17" s="51">
        <f t="shared" ca="1" si="5"/>
        <v>0</v>
      </c>
      <c r="BI17" s="51">
        <f t="shared" ca="1" si="5"/>
        <v>0</v>
      </c>
      <c r="BJ17" s="51">
        <f t="shared" ca="1" si="5"/>
        <v>0</v>
      </c>
      <c r="BK17" s="51">
        <f t="shared" ca="1" si="5"/>
        <v>0</v>
      </c>
      <c r="BL17" s="51">
        <f t="shared" ca="1" si="5"/>
        <v>0</v>
      </c>
      <c r="BM17" s="51">
        <f t="shared" ca="1" si="5"/>
        <v>0</v>
      </c>
      <c r="BN17" s="51">
        <f t="shared" ca="1" si="5"/>
        <v>0</v>
      </c>
      <c r="BO17" s="51">
        <f t="shared" ca="1" si="5"/>
        <v>0</v>
      </c>
      <c r="BP17" s="51">
        <f t="shared" ca="1" si="5"/>
        <v>0</v>
      </c>
      <c r="BQ17" s="51">
        <f t="shared" ca="1" si="5"/>
        <v>0</v>
      </c>
      <c r="BR17" s="51">
        <f t="shared" ca="1" si="5"/>
        <v>0</v>
      </c>
      <c r="BS17" s="51">
        <f t="shared" ca="1" si="5"/>
        <v>0</v>
      </c>
      <c r="BT17" s="51">
        <f t="shared" ca="1" si="5"/>
        <v>0</v>
      </c>
      <c r="BU17" s="51">
        <f t="shared" ca="1" si="5"/>
        <v>0</v>
      </c>
      <c r="BV17" s="51">
        <f t="shared" ca="1" si="5"/>
        <v>0</v>
      </c>
      <c r="BW17" s="51">
        <f t="shared" ca="1" si="5"/>
        <v>0</v>
      </c>
    </row>
    <row r="18" spans="1:75" x14ac:dyDescent="0.3">
      <c r="A18" s="5" t="s">
        <v>1168</v>
      </c>
      <c r="AF18" s="51">
        <f>AF27-AF17</f>
        <v>301441</v>
      </c>
      <c r="AG18" s="51">
        <f>AF18+AG22-AG25</f>
        <v>301441</v>
      </c>
      <c r="AH18" s="51">
        <f t="shared" ref="AH18:BW18" si="6">AG18+AH22-AH25</f>
        <v>301441</v>
      </c>
      <c r="AI18" s="51">
        <f t="shared" si="6"/>
        <v>301441</v>
      </c>
      <c r="AJ18" s="51">
        <f t="shared" si="6"/>
        <v>301441</v>
      </c>
      <c r="AK18" s="51">
        <f t="shared" si="6"/>
        <v>301441</v>
      </c>
      <c r="AL18" s="51">
        <f t="shared" si="6"/>
        <v>301441</v>
      </c>
      <c r="AM18" s="51">
        <f t="shared" si="6"/>
        <v>301441</v>
      </c>
      <c r="AN18" s="51">
        <f t="shared" si="6"/>
        <v>301441</v>
      </c>
      <c r="AO18" s="51">
        <f t="shared" si="6"/>
        <v>301441</v>
      </c>
      <c r="AP18" s="51">
        <f t="shared" si="6"/>
        <v>301441</v>
      </c>
      <c r="AQ18" s="51">
        <f t="shared" si="6"/>
        <v>301441</v>
      </c>
      <c r="AR18" s="51">
        <f t="shared" si="6"/>
        <v>301441</v>
      </c>
      <c r="AS18" s="51">
        <f t="shared" si="6"/>
        <v>301441</v>
      </c>
      <c r="AT18" s="51">
        <f t="shared" si="6"/>
        <v>301441</v>
      </c>
      <c r="AU18" s="51">
        <f t="shared" si="6"/>
        <v>301441</v>
      </c>
      <c r="AV18" s="51">
        <f t="shared" si="6"/>
        <v>301441</v>
      </c>
      <c r="AW18" s="51">
        <f t="shared" si="6"/>
        <v>301441</v>
      </c>
      <c r="AX18" s="51">
        <f t="shared" si="6"/>
        <v>301441</v>
      </c>
      <c r="AY18" s="51">
        <f t="shared" si="6"/>
        <v>301441</v>
      </c>
      <c r="AZ18" s="51">
        <f t="shared" si="6"/>
        <v>301441</v>
      </c>
      <c r="BA18" s="51">
        <f t="shared" si="6"/>
        <v>301441</v>
      </c>
      <c r="BB18" s="51">
        <f t="shared" si="6"/>
        <v>301441</v>
      </c>
      <c r="BC18" s="51">
        <f t="shared" si="6"/>
        <v>301441</v>
      </c>
      <c r="BD18" s="51">
        <f t="shared" si="6"/>
        <v>301441</v>
      </c>
      <c r="BE18" s="51">
        <f t="shared" si="6"/>
        <v>301441</v>
      </c>
      <c r="BF18" s="51">
        <f t="shared" si="6"/>
        <v>301441</v>
      </c>
      <c r="BG18" s="51">
        <f t="shared" si="6"/>
        <v>301441</v>
      </c>
      <c r="BH18" s="51">
        <f t="shared" si="6"/>
        <v>301441</v>
      </c>
      <c r="BI18" s="51">
        <f t="shared" si="6"/>
        <v>301441</v>
      </c>
      <c r="BJ18" s="51">
        <f t="shared" si="6"/>
        <v>301441</v>
      </c>
      <c r="BK18" s="51">
        <f t="shared" si="6"/>
        <v>301441</v>
      </c>
      <c r="BL18" s="51">
        <f t="shared" si="6"/>
        <v>301441</v>
      </c>
      <c r="BM18" s="51">
        <f t="shared" si="6"/>
        <v>301441</v>
      </c>
      <c r="BN18" s="51">
        <f t="shared" si="6"/>
        <v>301441</v>
      </c>
      <c r="BO18" s="51">
        <f t="shared" si="6"/>
        <v>301441</v>
      </c>
      <c r="BP18" s="51">
        <f t="shared" si="6"/>
        <v>301441</v>
      </c>
      <c r="BQ18" s="51">
        <f t="shared" si="6"/>
        <v>301441</v>
      </c>
      <c r="BR18" s="51">
        <f t="shared" si="6"/>
        <v>301441</v>
      </c>
      <c r="BS18" s="51">
        <f t="shared" si="6"/>
        <v>301441</v>
      </c>
      <c r="BT18" s="51">
        <f t="shared" si="6"/>
        <v>301441</v>
      </c>
      <c r="BU18" s="51">
        <f t="shared" si="6"/>
        <v>301441</v>
      </c>
      <c r="BV18" s="51">
        <f t="shared" si="6"/>
        <v>301441</v>
      </c>
      <c r="BW18" s="51">
        <f t="shared" si="6"/>
        <v>301441</v>
      </c>
    </row>
    <row r="19" spans="1:75" s="1" customFormat="1" x14ac:dyDescent="0.3"/>
    <row r="20" spans="1:75" x14ac:dyDescent="0.3">
      <c r="A20" s="5" t="s">
        <v>1169</v>
      </c>
      <c r="AG20" s="48">
        <f ca="1">SUM(AG21:AG22)</f>
        <v>2019848.8495151999</v>
      </c>
      <c r="AH20" s="48">
        <f t="shared" ref="AH20:BW20" ca="1" si="7">SUM(AH21:AH22)</f>
        <v>2014306.6885152003</v>
      </c>
      <c r="AI20" s="48">
        <f t="shared" ca="1" si="7"/>
        <v>1632598.5512352004</v>
      </c>
      <c r="AJ20" s="48">
        <f t="shared" ca="1" si="7"/>
        <v>1629464.4606792</v>
      </c>
      <c r="AK20" s="48">
        <f t="shared" ca="1" si="7"/>
        <v>1320182.5267642082</v>
      </c>
      <c r="AL20" s="48">
        <f t="shared" ca="1" si="7"/>
        <v>1373904.1728337917</v>
      </c>
      <c r="AM20" s="48">
        <f t="shared" ca="1" si="7"/>
        <v>245015.26577319828</v>
      </c>
      <c r="AN20" s="48">
        <f t="shared" ca="1" si="7"/>
        <v>252056.12479641903</v>
      </c>
      <c r="AO20" s="48">
        <f t="shared" ca="1" si="7"/>
        <v>259320.45514821037</v>
      </c>
      <c r="AP20" s="48">
        <f t="shared" ca="1" si="7"/>
        <v>266790.10248594527</v>
      </c>
      <c r="AQ20" s="48">
        <f t="shared" ca="1" si="7"/>
        <v>274496.83055616065</v>
      </c>
      <c r="AR20" s="48">
        <f t="shared" ca="1" si="7"/>
        <v>282421.37941676367</v>
      </c>
      <c r="AS20" s="48">
        <f t="shared" ca="1" si="7"/>
        <v>290597.4472264552</v>
      </c>
      <c r="AT20" s="48">
        <f t="shared" ca="1" si="7"/>
        <v>187360.03669097778</v>
      </c>
      <c r="AU20" s="48">
        <f t="shared" ca="1" si="7"/>
        <v>192684.6900976288</v>
      </c>
      <c r="AV20" s="48">
        <f t="shared" ca="1" si="7"/>
        <v>198154.02261488262</v>
      </c>
      <c r="AW20" s="48">
        <f t="shared" ca="1" si="7"/>
        <v>203802.94741399869</v>
      </c>
      <c r="AX20" s="48">
        <f t="shared" ca="1" si="7"/>
        <v>209605.36228155327</v>
      </c>
      <c r="AY20" s="48">
        <f t="shared" ca="1" si="7"/>
        <v>215598.30660093552</v>
      </c>
      <c r="AZ20" s="48">
        <f t="shared" ca="1" si="7"/>
        <v>221754.08853392416</v>
      </c>
      <c r="BA20" s="48">
        <f t="shared" ca="1" si="7"/>
        <v>228112.00316235682</v>
      </c>
      <c r="BB20" s="48">
        <f t="shared" ca="1" si="7"/>
        <v>234642.67221506458</v>
      </c>
      <c r="BC20" s="48">
        <f t="shared" ca="1" si="7"/>
        <v>241387.78384436865</v>
      </c>
      <c r="BD20" s="48">
        <f t="shared" ca="1" si="7"/>
        <v>248316.17064238628</v>
      </c>
      <c r="BE20" s="48">
        <f t="shared" ca="1" si="7"/>
        <v>255472.05956991506</v>
      </c>
      <c r="BF20" s="48">
        <f t="shared" ca="1" si="7"/>
        <v>262822.38512393186</v>
      </c>
      <c r="BG20" s="48">
        <f t="shared" ca="1" si="7"/>
        <v>10118.888515200186</v>
      </c>
      <c r="BH20" s="48">
        <f t="shared" ca="1" si="7"/>
        <v>10118.888515200186</v>
      </c>
      <c r="BI20" s="48">
        <f t="shared" ca="1" si="7"/>
        <v>10118.888515200186</v>
      </c>
      <c r="BJ20" s="48">
        <f t="shared" ca="1" si="7"/>
        <v>10118.888515200186</v>
      </c>
      <c r="BK20" s="48">
        <f t="shared" ca="1" si="7"/>
        <v>10118.888515200186</v>
      </c>
      <c r="BL20" s="48">
        <f t="shared" ca="1" si="7"/>
        <v>10118.888515200186</v>
      </c>
      <c r="BM20" s="48">
        <f t="shared" ca="1" si="7"/>
        <v>10118.888515200186</v>
      </c>
      <c r="BN20" s="48">
        <f t="shared" ca="1" si="7"/>
        <v>10118.888515200186</v>
      </c>
      <c r="BO20" s="48">
        <f t="shared" ca="1" si="7"/>
        <v>10118.888515200186</v>
      </c>
      <c r="BP20" s="48">
        <f t="shared" ca="1" si="7"/>
        <v>10118.888515200186</v>
      </c>
      <c r="BQ20" s="48">
        <f t="shared" ca="1" si="7"/>
        <v>10118.888515200186</v>
      </c>
      <c r="BR20" s="48">
        <f t="shared" ca="1" si="7"/>
        <v>10118.888515200186</v>
      </c>
      <c r="BS20" s="48">
        <f t="shared" ca="1" si="7"/>
        <v>10118.888515200186</v>
      </c>
      <c r="BT20" s="48">
        <f t="shared" ca="1" si="7"/>
        <v>10118.888515200186</v>
      </c>
      <c r="BU20" s="48">
        <f t="shared" ca="1" si="7"/>
        <v>10118.888515200186</v>
      </c>
      <c r="BV20" s="48">
        <f t="shared" ca="1" si="7"/>
        <v>10118.888515200186</v>
      </c>
      <c r="BW20" s="48">
        <f t="shared" ca="1" si="7"/>
        <v>10118.888515200186</v>
      </c>
    </row>
    <row r="21" spans="1:75" x14ac:dyDescent="0.3">
      <c r="A21" s="21" t="s">
        <v>1165</v>
      </c>
      <c r="AG21" s="51">
        <f ca="1">'CAPEX, Impostos e Abandono ($)'!AG24*'CAPEX, D&amp;A, Imob&amp;Intang'!AG6*1000</f>
        <v>2009729.9609999997</v>
      </c>
      <c r="AH21" s="51">
        <f ca="1">'CAPEX, Impostos e Abandono ($)'!AH24*'CAPEX, D&amp;A, Imob&amp;Intang'!AH6*1000</f>
        <v>2004187.8</v>
      </c>
      <c r="AI21" s="51">
        <f ca="1">'CAPEX, Impostos e Abandono ($)'!AI24*'CAPEX, D&amp;A, Imob&amp;Intang'!AI6*1000</f>
        <v>1622479.6627200001</v>
      </c>
      <c r="AJ21" s="51">
        <f ca="1">'CAPEX, Impostos e Abandono ($)'!AJ24*'CAPEX, D&amp;A, Imob&amp;Intang'!AJ6*1000</f>
        <v>1619345.5721639998</v>
      </c>
      <c r="AK21" s="51">
        <f ca="1">'CAPEX, Impostos e Abandono ($)'!AK24*'CAPEX, D&amp;A, Imob&amp;Intang'!AK6*1000</f>
        <v>1310063.638249008</v>
      </c>
      <c r="AL21" s="51">
        <f ca="1">'CAPEX, Impostos e Abandono ($)'!AL24*'CAPEX, D&amp;A, Imob&amp;Intang'!AL6*1000</f>
        <v>1363785.2843185915</v>
      </c>
      <c r="AM21" s="51">
        <f ca="1">'CAPEX, Impostos e Abandono ($)'!AM24*'CAPEX, D&amp;A, Imob&amp;Intang'!AM6*1000</f>
        <v>234896.3772579981</v>
      </c>
      <c r="AN21" s="51">
        <f ca="1">'CAPEX, Impostos e Abandono ($)'!AN24*'CAPEX, D&amp;A, Imob&amp;Intang'!AN6*1000</f>
        <v>241937.23628121885</v>
      </c>
      <c r="AO21" s="51">
        <f ca="1">'CAPEX, Impostos e Abandono ($)'!AO24*'CAPEX, D&amp;A, Imob&amp;Intang'!AO6*1000</f>
        <v>249201.5666330102</v>
      </c>
      <c r="AP21" s="51">
        <f ca="1">'CAPEX, Impostos e Abandono ($)'!AP24*'CAPEX, D&amp;A, Imob&amp;Intang'!AP6*1000</f>
        <v>256671.2139707451</v>
      </c>
      <c r="AQ21" s="51">
        <f ca="1">'CAPEX, Impostos e Abandono ($)'!AQ24*'CAPEX, D&amp;A, Imob&amp;Intang'!AQ6*1000</f>
        <v>264377.94204096048</v>
      </c>
      <c r="AR21" s="51">
        <f ca="1">'CAPEX, Impostos e Abandono ($)'!AR24*'CAPEX, D&amp;A, Imob&amp;Intang'!AR6*1000</f>
        <v>272302.49090156349</v>
      </c>
      <c r="AS21" s="51">
        <f ca="1">'CAPEX, Impostos e Abandono ($)'!AS24*'CAPEX, D&amp;A, Imob&amp;Intang'!AS6*1000</f>
        <v>280478.55871125503</v>
      </c>
      <c r="AT21" s="51">
        <f ca="1">'CAPEX, Impostos e Abandono ($)'!AT24*'CAPEX, D&amp;A, Imob&amp;Intang'!AT6*1000</f>
        <v>177241.14817577761</v>
      </c>
      <c r="AU21" s="51">
        <f ca="1">'CAPEX, Impostos e Abandono ($)'!AU24*'CAPEX, D&amp;A, Imob&amp;Intang'!AU6*1000</f>
        <v>182565.80158242863</v>
      </c>
      <c r="AV21" s="51">
        <f ca="1">'CAPEX, Impostos e Abandono ($)'!AV24*'CAPEX, D&amp;A, Imob&amp;Intang'!AV6*1000</f>
        <v>188035.13409968244</v>
      </c>
      <c r="AW21" s="51">
        <f ca="1">'CAPEX, Impostos e Abandono ($)'!AW24*'CAPEX, D&amp;A, Imob&amp;Intang'!AW6*1000</f>
        <v>193684.05889879851</v>
      </c>
      <c r="AX21" s="51">
        <f ca="1">'CAPEX, Impostos e Abandono ($)'!AX24*'CAPEX, D&amp;A, Imob&amp;Intang'!AX6*1000</f>
        <v>199486.4737663531</v>
      </c>
      <c r="AY21" s="51">
        <f ca="1">'CAPEX, Impostos e Abandono ($)'!AY24*'CAPEX, D&amp;A, Imob&amp;Intang'!AY6*1000</f>
        <v>205479.41808573535</v>
      </c>
      <c r="AZ21" s="51">
        <f ca="1">'CAPEX, Impostos e Abandono ($)'!AZ24*'CAPEX, D&amp;A, Imob&amp;Intang'!AZ6*1000</f>
        <v>211635.20001872399</v>
      </c>
      <c r="BA21" s="51">
        <f ca="1">'CAPEX, Impostos e Abandono ($)'!BA24*'CAPEX, D&amp;A, Imob&amp;Intang'!BA6*1000</f>
        <v>217993.11464715665</v>
      </c>
      <c r="BB21" s="51">
        <f ca="1">'CAPEX, Impostos e Abandono ($)'!BB24*'CAPEX, D&amp;A, Imob&amp;Intang'!BB6*1000</f>
        <v>224523.78369986441</v>
      </c>
      <c r="BC21" s="51">
        <f ca="1">'CAPEX, Impostos e Abandono ($)'!BC24*'CAPEX, D&amp;A, Imob&amp;Intang'!BC6*1000</f>
        <v>231268.89532916847</v>
      </c>
      <c r="BD21" s="51">
        <f ca="1">'CAPEX, Impostos e Abandono ($)'!BD24*'CAPEX, D&amp;A, Imob&amp;Intang'!BD6*1000</f>
        <v>238197.2821271861</v>
      </c>
      <c r="BE21" s="51">
        <f ca="1">'CAPEX, Impostos e Abandono ($)'!BE24*'CAPEX, D&amp;A, Imob&amp;Intang'!BE6*1000</f>
        <v>245353.17105471488</v>
      </c>
      <c r="BF21" s="51">
        <f ca="1">'CAPEX, Impostos e Abandono ($)'!BF24*'CAPEX, D&amp;A, Imob&amp;Intang'!BF6*1000</f>
        <v>252703.49660873169</v>
      </c>
      <c r="BG21" s="51">
        <f ca="1">'CAPEX, Impostos e Abandono ($)'!BG24*'CAPEX, D&amp;A, Imob&amp;Intang'!BG6*1000</f>
        <v>0</v>
      </c>
      <c r="BH21" s="51">
        <f ca="1">'CAPEX, Impostos e Abandono ($)'!BH24*'CAPEX, D&amp;A, Imob&amp;Intang'!BH6*1000</f>
        <v>0</v>
      </c>
      <c r="BI21" s="51">
        <f ca="1">'CAPEX, Impostos e Abandono ($)'!BI24*'CAPEX, D&amp;A, Imob&amp;Intang'!BI6*1000</f>
        <v>0</v>
      </c>
      <c r="BJ21" s="51">
        <f ca="1">'CAPEX, Impostos e Abandono ($)'!BJ24*'CAPEX, D&amp;A, Imob&amp;Intang'!BJ6*1000</f>
        <v>0</v>
      </c>
      <c r="BK21" s="51">
        <f ca="1">'CAPEX, Impostos e Abandono ($)'!BK24*'CAPEX, D&amp;A, Imob&amp;Intang'!BK6*1000</f>
        <v>0</v>
      </c>
      <c r="BL21" s="51">
        <f ca="1">'CAPEX, Impostos e Abandono ($)'!BL24*'CAPEX, D&amp;A, Imob&amp;Intang'!BL6*1000</f>
        <v>0</v>
      </c>
      <c r="BM21" s="51">
        <f ca="1">'CAPEX, Impostos e Abandono ($)'!BM24*'CAPEX, D&amp;A, Imob&amp;Intang'!BM6*1000</f>
        <v>0</v>
      </c>
      <c r="BN21" s="51">
        <f ca="1">'CAPEX, Impostos e Abandono ($)'!BN24*'CAPEX, D&amp;A, Imob&amp;Intang'!BN6*1000</f>
        <v>0</v>
      </c>
      <c r="BO21" s="51">
        <f ca="1">'CAPEX, Impostos e Abandono ($)'!BO24*'CAPEX, D&amp;A, Imob&amp;Intang'!BO6*1000</f>
        <v>0</v>
      </c>
      <c r="BP21" s="51">
        <f ca="1">'CAPEX, Impostos e Abandono ($)'!BP24*'CAPEX, D&amp;A, Imob&amp;Intang'!BP6*1000</f>
        <v>0</v>
      </c>
      <c r="BQ21" s="51">
        <f ca="1">'CAPEX, Impostos e Abandono ($)'!BQ24*'CAPEX, D&amp;A, Imob&amp;Intang'!BQ6*1000</f>
        <v>0</v>
      </c>
      <c r="BR21" s="51">
        <f ca="1">'CAPEX, Impostos e Abandono ($)'!BR24*'CAPEX, D&amp;A, Imob&amp;Intang'!BR6*1000</f>
        <v>0</v>
      </c>
      <c r="BS21" s="51">
        <f ca="1">'CAPEX, Impostos e Abandono ($)'!BS24*'CAPEX, D&amp;A, Imob&amp;Intang'!BS6*1000</f>
        <v>0</v>
      </c>
      <c r="BT21" s="51">
        <f ca="1">'CAPEX, Impostos e Abandono ($)'!BT24*'CAPEX, D&amp;A, Imob&amp;Intang'!BT6*1000</f>
        <v>0</v>
      </c>
      <c r="BU21" s="51">
        <f ca="1">'CAPEX, Impostos e Abandono ($)'!BU24*'CAPEX, D&amp;A, Imob&amp;Intang'!BU6*1000</f>
        <v>0</v>
      </c>
      <c r="BV21" s="51">
        <f ca="1">'CAPEX, Impostos e Abandono ($)'!BV24*'CAPEX, D&amp;A, Imob&amp;Intang'!BV6*1000</f>
        <v>0</v>
      </c>
      <c r="BW21" s="51">
        <f ca="1">'CAPEX, Impostos e Abandono ($)'!BW24*'CAPEX, D&amp;A, Imob&amp;Intang'!BW6*1000</f>
        <v>0</v>
      </c>
    </row>
    <row r="22" spans="1:75" x14ac:dyDescent="0.3">
      <c r="A22" s="21" t="s">
        <v>1166</v>
      </c>
      <c r="AG22" s="51">
        <f>AG25*100%</f>
        <v>10118.888515200186</v>
      </c>
      <c r="AH22" s="51">
        <f t="shared" ref="AH22:BW22" si="8">AH25*100%</f>
        <v>10118.888515200186</v>
      </c>
      <c r="AI22" s="51">
        <f t="shared" si="8"/>
        <v>10118.888515200186</v>
      </c>
      <c r="AJ22" s="51">
        <f t="shared" si="8"/>
        <v>10118.888515200186</v>
      </c>
      <c r="AK22" s="51">
        <f t="shared" si="8"/>
        <v>10118.888515200186</v>
      </c>
      <c r="AL22" s="51">
        <f t="shared" si="8"/>
        <v>10118.888515200186</v>
      </c>
      <c r="AM22" s="51">
        <f t="shared" si="8"/>
        <v>10118.888515200186</v>
      </c>
      <c r="AN22" s="51">
        <f t="shared" si="8"/>
        <v>10118.888515200186</v>
      </c>
      <c r="AO22" s="51">
        <f t="shared" si="8"/>
        <v>10118.888515200186</v>
      </c>
      <c r="AP22" s="51">
        <f t="shared" si="8"/>
        <v>10118.888515200186</v>
      </c>
      <c r="AQ22" s="51">
        <f t="shared" si="8"/>
        <v>10118.888515200186</v>
      </c>
      <c r="AR22" s="51">
        <f t="shared" si="8"/>
        <v>10118.888515200186</v>
      </c>
      <c r="AS22" s="51">
        <f t="shared" si="8"/>
        <v>10118.888515200186</v>
      </c>
      <c r="AT22" s="51">
        <f t="shared" si="8"/>
        <v>10118.888515200186</v>
      </c>
      <c r="AU22" s="51">
        <f t="shared" si="8"/>
        <v>10118.888515200186</v>
      </c>
      <c r="AV22" s="51">
        <f t="shared" si="8"/>
        <v>10118.888515200186</v>
      </c>
      <c r="AW22" s="51">
        <f t="shared" si="8"/>
        <v>10118.888515200186</v>
      </c>
      <c r="AX22" s="51">
        <f t="shared" si="8"/>
        <v>10118.888515200186</v>
      </c>
      <c r="AY22" s="51">
        <f t="shared" si="8"/>
        <v>10118.888515200186</v>
      </c>
      <c r="AZ22" s="51">
        <f t="shared" si="8"/>
        <v>10118.888515200186</v>
      </c>
      <c r="BA22" s="51">
        <f t="shared" si="8"/>
        <v>10118.888515200186</v>
      </c>
      <c r="BB22" s="51">
        <f t="shared" si="8"/>
        <v>10118.888515200186</v>
      </c>
      <c r="BC22" s="51">
        <f t="shared" si="8"/>
        <v>10118.888515200186</v>
      </c>
      <c r="BD22" s="51">
        <f t="shared" si="8"/>
        <v>10118.888515200186</v>
      </c>
      <c r="BE22" s="51">
        <f t="shared" si="8"/>
        <v>10118.888515200186</v>
      </c>
      <c r="BF22" s="51">
        <f t="shared" si="8"/>
        <v>10118.888515200186</v>
      </c>
      <c r="BG22" s="51">
        <f t="shared" si="8"/>
        <v>10118.888515200186</v>
      </c>
      <c r="BH22" s="51">
        <f t="shared" si="8"/>
        <v>10118.888515200186</v>
      </c>
      <c r="BI22" s="51">
        <f t="shared" si="8"/>
        <v>10118.888515200186</v>
      </c>
      <c r="BJ22" s="51">
        <f t="shared" si="8"/>
        <v>10118.888515200186</v>
      </c>
      <c r="BK22" s="51">
        <f t="shared" si="8"/>
        <v>10118.888515200186</v>
      </c>
      <c r="BL22" s="51">
        <f t="shared" si="8"/>
        <v>10118.888515200186</v>
      </c>
      <c r="BM22" s="51">
        <f t="shared" si="8"/>
        <v>10118.888515200186</v>
      </c>
      <c r="BN22" s="51">
        <f t="shared" si="8"/>
        <v>10118.888515200186</v>
      </c>
      <c r="BO22" s="51">
        <f t="shared" si="8"/>
        <v>10118.888515200186</v>
      </c>
      <c r="BP22" s="51">
        <f t="shared" si="8"/>
        <v>10118.888515200186</v>
      </c>
      <c r="BQ22" s="51">
        <f t="shared" si="8"/>
        <v>10118.888515200186</v>
      </c>
      <c r="BR22" s="51">
        <f t="shared" si="8"/>
        <v>10118.888515200186</v>
      </c>
      <c r="BS22" s="51">
        <f t="shared" si="8"/>
        <v>10118.888515200186</v>
      </c>
      <c r="BT22" s="51">
        <f t="shared" si="8"/>
        <v>10118.888515200186</v>
      </c>
      <c r="BU22" s="51">
        <f t="shared" si="8"/>
        <v>10118.888515200186</v>
      </c>
      <c r="BV22" s="51">
        <f t="shared" si="8"/>
        <v>10118.888515200186</v>
      </c>
      <c r="BW22" s="51">
        <f t="shared" si="8"/>
        <v>10118.888515200186</v>
      </c>
    </row>
    <row r="23" spans="1:75" x14ac:dyDescent="0.3">
      <c r="A23" s="5" t="s">
        <v>1163</v>
      </c>
      <c r="AG23" s="48">
        <f t="shared" ref="AG23:BW23" ca="1" si="9">SUM(AG24:AG25)</f>
        <v>732599.62606063194</v>
      </c>
      <c r="AH23" s="48">
        <f t="shared" ca="1" si="9"/>
        <v>967221.38137567288</v>
      </c>
      <c r="AI23" s="48">
        <f t="shared" ca="1" si="9"/>
        <v>1239887.9058597619</v>
      </c>
      <c r="AJ23" s="48">
        <f t="shared" ca="1" si="9"/>
        <v>1421805.1698346462</v>
      </c>
      <c r="AK23" s="48">
        <f t="shared" ca="1" si="9"/>
        <v>1668396.9542309665</v>
      </c>
      <c r="AL23" s="48">
        <f t="shared" ca="1" si="9"/>
        <v>1696368.2437285036</v>
      </c>
      <c r="AM23" s="48">
        <f t="shared" ca="1" si="9"/>
        <v>1619967.3006914214</v>
      </c>
      <c r="AN23" s="48">
        <f t="shared" ca="1" si="9"/>
        <v>1422823.2412620808</v>
      </c>
      <c r="AO23" s="48">
        <f t="shared" ca="1" si="9"/>
        <v>1270922.579922515</v>
      </c>
      <c r="AP23" s="48">
        <f t="shared" ca="1" si="9"/>
        <v>1151126.1875001309</v>
      </c>
      <c r="AQ23" s="48">
        <f t="shared" ca="1" si="9"/>
        <v>1035242.8647812475</v>
      </c>
      <c r="AR23" s="48">
        <f t="shared" ca="1" si="9"/>
        <v>923002.57115431642</v>
      </c>
      <c r="AS23" s="48">
        <f t="shared" ca="1" si="9"/>
        <v>832503.66089479032</v>
      </c>
      <c r="AT23" s="48">
        <f t="shared" ca="1" si="9"/>
        <v>775573.7099005105</v>
      </c>
      <c r="AU23" s="48">
        <f t="shared" ca="1" si="9"/>
        <v>698585.40163338732</v>
      </c>
      <c r="AV23" s="48">
        <f t="shared" ca="1" si="9"/>
        <v>577841.4565720408</v>
      </c>
      <c r="AW23" s="48">
        <f t="shared" ca="1" si="9"/>
        <v>535514.45874095999</v>
      </c>
      <c r="AX23" s="48">
        <f t="shared" ca="1" si="9"/>
        <v>501546.50442565378</v>
      </c>
      <c r="AY23" s="48">
        <f t="shared" ca="1" si="9"/>
        <v>471534.48773361498</v>
      </c>
      <c r="AZ23" s="48">
        <f t="shared" ca="1" si="9"/>
        <v>454348.67600700812</v>
      </c>
      <c r="BA23" s="48">
        <f t="shared" ca="1" si="9"/>
        <v>432990.41104656825</v>
      </c>
      <c r="BB23" s="48">
        <f t="shared" ca="1" si="9"/>
        <v>435238.59225774504</v>
      </c>
      <c r="BC23" s="48">
        <f t="shared" ca="1" si="9"/>
        <v>448867.87301679625</v>
      </c>
      <c r="BD23" s="48">
        <f t="shared" ca="1" si="9"/>
        <v>474553.78828329185</v>
      </c>
      <c r="BE23" s="48">
        <f t="shared" ca="1" si="9"/>
        <v>489476.82590447139</v>
      </c>
      <c r="BF23" s="48">
        <f t="shared" ca="1" si="9"/>
        <v>544550.51432551781</v>
      </c>
      <c r="BG23" s="48">
        <f t="shared" ca="1" si="9"/>
        <v>662844.68973790295</v>
      </c>
      <c r="BH23" s="48">
        <f t="shared" ca="1" si="9"/>
        <v>419300.95388612518</v>
      </c>
      <c r="BI23" s="48">
        <f t="shared" ca="1" si="9"/>
        <v>10118.888515200186</v>
      </c>
      <c r="BJ23" s="48">
        <f t="shared" ca="1" si="9"/>
        <v>10118.888515200186</v>
      </c>
      <c r="BK23" s="48">
        <f t="shared" ca="1" si="9"/>
        <v>10118.888515200186</v>
      </c>
      <c r="BL23" s="48">
        <f t="shared" ca="1" si="9"/>
        <v>10118.888515200186</v>
      </c>
      <c r="BM23" s="48">
        <f t="shared" ca="1" si="9"/>
        <v>10118.888515200186</v>
      </c>
      <c r="BN23" s="48">
        <f t="shared" ca="1" si="9"/>
        <v>10118.888515200186</v>
      </c>
      <c r="BO23" s="48">
        <f t="shared" ca="1" si="9"/>
        <v>10118.888515200186</v>
      </c>
      <c r="BP23" s="48">
        <f t="shared" ca="1" si="9"/>
        <v>10118.888515200186</v>
      </c>
      <c r="BQ23" s="48">
        <f t="shared" ca="1" si="9"/>
        <v>10118.888515200186</v>
      </c>
      <c r="BR23" s="48">
        <f t="shared" ca="1" si="9"/>
        <v>10118.888515200186</v>
      </c>
      <c r="BS23" s="48">
        <f t="shared" ca="1" si="9"/>
        <v>10118.888515200186</v>
      </c>
      <c r="BT23" s="48">
        <f t="shared" ca="1" si="9"/>
        <v>10118.888515200186</v>
      </c>
      <c r="BU23" s="48">
        <f t="shared" ca="1" si="9"/>
        <v>10118.888515200186</v>
      </c>
      <c r="BV23" s="48">
        <f t="shared" ca="1" si="9"/>
        <v>10118.888515200186</v>
      </c>
      <c r="BW23" s="48">
        <f t="shared" ca="1" si="9"/>
        <v>10118.888515200186</v>
      </c>
    </row>
    <row r="24" spans="1:75" x14ac:dyDescent="0.3">
      <c r="A24" s="21" t="s">
        <v>1167</v>
      </c>
      <c r="AG24" s="51">
        <f t="shared" ref="AG24:BW24" ca="1" si="10">AF17*AG11</f>
        <v>722480.73754543171</v>
      </c>
      <c r="AH24" s="51">
        <f t="shared" ca="1" si="10"/>
        <v>957102.49286047264</v>
      </c>
      <c r="AI24" s="51">
        <f t="shared" ca="1" si="10"/>
        <v>1229769.0173445616</v>
      </c>
      <c r="AJ24" s="51">
        <f t="shared" ca="1" si="10"/>
        <v>1411686.2813194459</v>
      </c>
      <c r="AK24" s="51">
        <f t="shared" ca="1" si="10"/>
        <v>1658278.0657157663</v>
      </c>
      <c r="AL24" s="51">
        <f t="shared" ca="1" si="10"/>
        <v>1686249.3552133034</v>
      </c>
      <c r="AM24" s="51">
        <f t="shared" ca="1" si="10"/>
        <v>1609848.4121762211</v>
      </c>
      <c r="AN24" s="51">
        <f t="shared" ca="1" si="10"/>
        <v>1412704.3527468806</v>
      </c>
      <c r="AO24" s="51">
        <f t="shared" ca="1" si="10"/>
        <v>1260803.6914073147</v>
      </c>
      <c r="AP24" s="51">
        <f t="shared" ca="1" si="10"/>
        <v>1141007.2989849306</v>
      </c>
      <c r="AQ24" s="51">
        <f t="shared" ca="1" si="10"/>
        <v>1025123.9762660472</v>
      </c>
      <c r="AR24" s="51">
        <f t="shared" ca="1" si="10"/>
        <v>912883.68263911619</v>
      </c>
      <c r="AS24" s="51">
        <f t="shared" ca="1" si="10"/>
        <v>822384.77237959008</v>
      </c>
      <c r="AT24" s="51">
        <f t="shared" ca="1" si="10"/>
        <v>765454.82138531026</v>
      </c>
      <c r="AU24" s="51">
        <f t="shared" ca="1" si="10"/>
        <v>688466.51311818708</v>
      </c>
      <c r="AV24" s="51">
        <f t="shared" ca="1" si="10"/>
        <v>567722.56805684057</v>
      </c>
      <c r="AW24" s="51">
        <f t="shared" ca="1" si="10"/>
        <v>525395.57022575976</v>
      </c>
      <c r="AX24" s="51">
        <f t="shared" ca="1" si="10"/>
        <v>491427.61591045361</v>
      </c>
      <c r="AY24" s="51">
        <f t="shared" ca="1" si="10"/>
        <v>461415.59921841481</v>
      </c>
      <c r="AZ24" s="51">
        <f t="shared" ca="1" si="10"/>
        <v>444229.78749180795</v>
      </c>
      <c r="BA24" s="51">
        <f t="shared" ca="1" si="10"/>
        <v>422871.52253136807</v>
      </c>
      <c r="BB24" s="51">
        <f t="shared" ca="1" si="10"/>
        <v>425119.70374254487</v>
      </c>
      <c r="BC24" s="51">
        <f t="shared" ca="1" si="10"/>
        <v>438748.98450159607</v>
      </c>
      <c r="BD24" s="51">
        <f t="shared" ca="1" si="10"/>
        <v>464434.89976809168</v>
      </c>
      <c r="BE24" s="51">
        <f t="shared" ca="1" si="10"/>
        <v>479357.93738927122</v>
      </c>
      <c r="BF24" s="51">
        <f t="shared" ca="1" si="10"/>
        <v>534431.62581031758</v>
      </c>
      <c r="BG24" s="51">
        <f t="shared" ca="1" si="10"/>
        <v>652725.80122270272</v>
      </c>
      <c r="BH24" s="51">
        <f t="shared" ca="1" si="10"/>
        <v>409182.065370925</v>
      </c>
      <c r="BI24" s="51">
        <f t="shared" ca="1" si="10"/>
        <v>0</v>
      </c>
      <c r="BJ24" s="51">
        <f t="shared" ca="1" si="10"/>
        <v>0</v>
      </c>
      <c r="BK24" s="51">
        <f t="shared" ca="1" si="10"/>
        <v>0</v>
      </c>
      <c r="BL24" s="51">
        <f t="shared" ca="1" si="10"/>
        <v>0</v>
      </c>
      <c r="BM24" s="51">
        <f t="shared" ca="1" si="10"/>
        <v>0</v>
      </c>
      <c r="BN24" s="51">
        <f t="shared" ca="1" si="10"/>
        <v>0</v>
      </c>
      <c r="BO24" s="51">
        <f t="shared" ca="1" si="10"/>
        <v>0</v>
      </c>
      <c r="BP24" s="51">
        <f t="shared" ca="1" si="10"/>
        <v>0</v>
      </c>
      <c r="BQ24" s="51">
        <f t="shared" ca="1" si="10"/>
        <v>0</v>
      </c>
      <c r="BR24" s="51">
        <f t="shared" ca="1" si="10"/>
        <v>0</v>
      </c>
      <c r="BS24" s="51">
        <f t="shared" ca="1" si="10"/>
        <v>0</v>
      </c>
      <c r="BT24" s="51">
        <f t="shared" ca="1" si="10"/>
        <v>0</v>
      </c>
      <c r="BU24" s="51">
        <f t="shared" ca="1" si="10"/>
        <v>0</v>
      </c>
      <c r="BV24" s="51">
        <f t="shared" ca="1" si="10"/>
        <v>0</v>
      </c>
      <c r="BW24" s="51">
        <f t="shared" ca="1" si="10"/>
        <v>0</v>
      </c>
    </row>
    <row r="25" spans="1:75" x14ac:dyDescent="0.3">
      <c r="A25" s="21" t="s">
        <v>1168</v>
      </c>
      <c r="AG25" s="51">
        <f t="shared" ref="AG25:BW25" si="11">AG14*AF18</f>
        <v>10118.888515200186</v>
      </c>
      <c r="AH25" s="51">
        <f t="shared" si="11"/>
        <v>10118.888515200186</v>
      </c>
      <c r="AI25" s="51">
        <f t="shared" si="11"/>
        <v>10118.888515200186</v>
      </c>
      <c r="AJ25" s="51">
        <f t="shared" si="11"/>
        <v>10118.888515200186</v>
      </c>
      <c r="AK25" s="51">
        <f t="shared" si="11"/>
        <v>10118.888515200186</v>
      </c>
      <c r="AL25" s="51">
        <f t="shared" si="11"/>
        <v>10118.888515200186</v>
      </c>
      <c r="AM25" s="51">
        <f t="shared" si="11"/>
        <v>10118.888515200186</v>
      </c>
      <c r="AN25" s="51">
        <f t="shared" si="11"/>
        <v>10118.888515200186</v>
      </c>
      <c r="AO25" s="51">
        <f t="shared" si="11"/>
        <v>10118.888515200186</v>
      </c>
      <c r="AP25" s="51">
        <f t="shared" si="11"/>
        <v>10118.888515200186</v>
      </c>
      <c r="AQ25" s="51">
        <f t="shared" si="11"/>
        <v>10118.888515200186</v>
      </c>
      <c r="AR25" s="51">
        <f t="shared" si="11"/>
        <v>10118.888515200186</v>
      </c>
      <c r="AS25" s="51">
        <f t="shared" si="11"/>
        <v>10118.888515200186</v>
      </c>
      <c r="AT25" s="51">
        <f t="shared" si="11"/>
        <v>10118.888515200186</v>
      </c>
      <c r="AU25" s="51">
        <f t="shared" si="11"/>
        <v>10118.888515200186</v>
      </c>
      <c r="AV25" s="51">
        <f t="shared" si="11"/>
        <v>10118.888515200186</v>
      </c>
      <c r="AW25" s="51">
        <f t="shared" si="11"/>
        <v>10118.888515200186</v>
      </c>
      <c r="AX25" s="51">
        <f t="shared" si="11"/>
        <v>10118.888515200186</v>
      </c>
      <c r="AY25" s="51">
        <f t="shared" si="11"/>
        <v>10118.888515200186</v>
      </c>
      <c r="AZ25" s="51">
        <f t="shared" si="11"/>
        <v>10118.888515200186</v>
      </c>
      <c r="BA25" s="51">
        <f t="shared" si="11"/>
        <v>10118.888515200186</v>
      </c>
      <c r="BB25" s="51">
        <f t="shared" si="11"/>
        <v>10118.888515200186</v>
      </c>
      <c r="BC25" s="51">
        <f t="shared" si="11"/>
        <v>10118.888515200186</v>
      </c>
      <c r="BD25" s="51">
        <f t="shared" si="11"/>
        <v>10118.888515200186</v>
      </c>
      <c r="BE25" s="51">
        <f t="shared" si="11"/>
        <v>10118.888515200186</v>
      </c>
      <c r="BF25" s="51">
        <f t="shared" si="11"/>
        <v>10118.888515200186</v>
      </c>
      <c r="BG25" s="51">
        <f t="shared" si="11"/>
        <v>10118.888515200186</v>
      </c>
      <c r="BH25" s="51">
        <f t="shared" si="11"/>
        <v>10118.888515200186</v>
      </c>
      <c r="BI25" s="51">
        <f t="shared" si="11"/>
        <v>10118.888515200186</v>
      </c>
      <c r="BJ25" s="51">
        <f t="shared" si="11"/>
        <v>10118.888515200186</v>
      </c>
      <c r="BK25" s="51">
        <f t="shared" si="11"/>
        <v>10118.888515200186</v>
      </c>
      <c r="BL25" s="51">
        <f t="shared" si="11"/>
        <v>10118.888515200186</v>
      </c>
      <c r="BM25" s="51">
        <f t="shared" si="11"/>
        <v>10118.888515200186</v>
      </c>
      <c r="BN25" s="51">
        <f t="shared" si="11"/>
        <v>10118.888515200186</v>
      </c>
      <c r="BO25" s="51">
        <f t="shared" si="11"/>
        <v>10118.888515200186</v>
      </c>
      <c r="BP25" s="51">
        <f t="shared" si="11"/>
        <v>10118.888515200186</v>
      </c>
      <c r="BQ25" s="51">
        <f t="shared" si="11"/>
        <v>10118.888515200186</v>
      </c>
      <c r="BR25" s="51">
        <f t="shared" si="11"/>
        <v>10118.888515200186</v>
      </c>
      <c r="BS25" s="51">
        <f t="shared" si="11"/>
        <v>10118.888515200186</v>
      </c>
      <c r="BT25" s="51">
        <f t="shared" si="11"/>
        <v>10118.888515200186</v>
      </c>
      <c r="BU25" s="51">
        <f t="shared" si="11"/>
        <v>10118.888515200186</v>
      </c>
      <c r="BV25" s="51">
        <f t="shared" si="11"/>
        <v>10118.888515200186</v>
      </c>
      <c r="BW25" s="51">
        <f t="shared" si="11"/>
        <v>10118.888515200186</v>
      </c>
    </row>
    <row r="26" spans="1:75" x14ac:dyDescent="0.3">
      <c r="AF26" s="269"/>
    </row>
    <row r="27" spans="1:75" x14ac:dyDescent="0.3">
      <c r="A27" s="4" t="s">
        <v>1155</v>
      </c>
      <c r="AA27" s="2"/>
      <c r="AB27" s="2"/>
      <c r="AC27" s="2"/>
      <c r="AD27" s="2"/>
      <c r="AE27" s="2"/>
      <c r="AF27" s="51">
        <f>SUM(AF29:AF50)</f>
        <v>9425123.8699999992</v>
      </c>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row>
    <row r="28" spans="1:75" x14ac:dyDescent="0.3">
      <c r="A28" s="7" t="s">
        <v>1161</v>
      </c>
      <c r="B28" s="4" t="s">
        <v>1156</v>
      </c>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row>
    <row r="29" spans="1:75" x14ac:dyDescent="0.3">
      <c r="A29" s="21" t="s">
        <v>1138</v>
      </c>
      <c r="B29" s="268" t="s">
        <v>1157</v>
      </c>
      <c r="AA29" s="2"/>
      <c r="AB29" s="2"/>
      <c r="AC29" s="2"/>
      <c r="AD29" s="2"/>
      <c r="AE29" s="2"/>
      <c r="AF29" s="55">
        <v>15306</v>
      </c>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row>
    <row r="30" spans="1:75" x14ac:dyDescent="0.3">
      <c r="A30" s="21" t="s">
        <v>1139</v>
      </c>
      <c r="B30" s="268" t="s">
        <v>1157</v>
      </c>
      <c r="AA30" s="2"/>
      <c r="AB30" s="2"/>
      <c r="AC30" s="2"/>
      <c r="AD30" s="2"/>
      <c r="AE30" s="2"/>
      <c r="AF30" s="55">
        <v>911143</v>
      </c>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row>
    <row r="31" spans="1:75" x14ac:dyDescent="0.3">
      <c r="A31" s="21" t="s">
        <v>1140</v>
      </c>
      <c r="B31" s="268" t="s">
        <v>1157</v>
      </c>
      <c r="AA31" s="2"/>
      <c r="AB31" s="2"/>
      <c r="AC31" s="2"/>
      <c r="AD31" s="2"/>
      <c r="AE31" s="2"/>
      <c r="AF31" s="55">
        <v>431645</v>
      </c>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row>
    <row r="32" spans="1:75" x14ac:dyDescent="0.3">
      <c r="A32" s="21" t="s">
        <v>1141</v>
      </c>
      <c r="B32" s="268" t="s">
        <v>1157</v>
      </c>
      <c r="AA32" s="2"/>
      <c r="AB32" s="2"/>
      <c r="AC32" s="2"/>
      <c r="AD32" s="2"/>
      <c r="AE32" s="2"/>
      <c r="AF32" s="55">
        <v>1506510</v>
      </c>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row>
    <row r="33" spans="1:75" x14ac:dyDescent="0.3">
      <c r="A33" s="21" t="s">
        <v>644</v>
      </c>
      <c r="B33" s="268" t="s">
        <v>1157</v>
      </c>
      <c r="AA33" s="2"/>
      <c r="AB33" s="2"/>
      <c r="AC33" s="2"/>
      <c r="AD33" s="2"/>
      <c r="AE33" s="2"/>
      <c r="AF33" s="55">
        <v>544015</v>
      </c>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row>
    <row r="34" spans="1:75" x14ac:dyDescent="0.3">
      <c r="A34" s="21" t="s">
        <v>1142</v>
      </c>
      <c r="B34" s="268" t="s">
        <v>1157</v>
      </c>
      <c r="AA34" s="2"/>
      <c r="AB34" s="2"/>
      <c r="AC34" s="2"/>
      <c r="AD34" s="2"/>
      <c r="AE34" s="2"/>
      <c r="AF34" s="55">
        <v>1540371</v>
      </c>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row>
    <row r="35" spans="1:75" x14ac:dyDescent="0.3">
      <c r="A35" s="21" t="s">
        <v>1143</v>
      </c>
      <c r="B35" s="268" t="s">
        <v>1157</v>
      </c>
      <c r="AA35" s="2"/>
      <c r="AB35" s="2"/>
      <c r="AC35" s="2"/>
      <c r="AD35" s="2"/>
      <c r="AE35" s="2"/>
      <c r="AF35" s="55">
        <v>409162</v>
      </c>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row>
    <row r="36" spans="1:75" x14ac:dyDescent="0.3">
      <c r="A36" s="21" t="s">
        <v>1144</v>
      </c>
      <c r="B36" s="268">
        <v>3</v>
      </c>
      <c r="AA36" s="2"/>
      <c r="AB36" s="2"/>
      <c r="AC36" s="2"/>
      <c r="AD36" s="2"/>
      <c r="AE36" s="2"/>
      <c r="AF36" s="55">
        <v>266652</v>
      </c>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row>
    <row r="37" spans="1:75" x14ac:dyDescent="0.3">
      <c r="A37" s="21" t="s">
        <v>1145</v>
      </c>
      <c r="B37" s="268">
        <v>10</v>
      </c>
      <c r="AA37" s="2"/>
      <c r="AB37" s="2"/>
      <c r="AC37" s="2"/>
      <c r="AD37" s="2"/>
      <c r="AE37" s="2"/>
      <c r="AF37" s="55">
        <v>0</v>
      </c>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row>
    <row r="38" spans="1:75" x14ac:dyDescent="0.3">
      <c r="A38" s="21" t="s">
        <v>1146</v>
      </c>
      <c r="B38" s="268">
        <v>10</v>
      </c>
      <c r="AA38" s="2"/>
      <c r="AB38" s="2"/>
      <c r="AC38" s="2"/>
      <c r="AD38" s="2"/>
      <c r="AE38" s="2"/>
      <c r="AF38" s="55">
        <v>731</v>
      </c>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row>
    <row r="39" spans="1:75" x14ac:dyDescent="0.3">
      <c r="A39" s="21" t="s">
        <v>1147</v>
      </c>
      <c r="B39" s="268">
        <v>20</v>
      </c>
      <c r="AA39" s="2"/>
      <c r="AB39" s="2"/>
      <c r="AC39" s="2"/>
      <c r="AD39" s="2"/>
      <c r="AE39" s="2"/>
      <c r="AF39" s="55">
        <v>446</v>
      </c>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row>
    <row r="40" spans="1:75" x14ac:dyDescent="0.3">
      <c r="A40" s="21" t="s">
        <v>1148</v>
      </c>
      <c r="B40" s="268">
        <v>20</v>
      </c>
      <c r="AA40" s="2"/>
      <c r="AB40" s="2"/>
      <c r="AC40" s="2"/>
      <c r="AD40" s="2"/>
      <c r="AE40" s="2"/>
      <c r="AF40" s="55">
        <v>4783</v>
      </c>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row>
    <row r="41" spans="1:75" x14ac:dyDescent="0.3">
      <c r="A41" s="21" t="s">
        <v>1149</v>
      </c>
      <c r="B41" s="268">
        <v>4</v>
      </c>
      <c r="AA41" s="2"/>
      <c r="AB41" s="2"/>
      <c r="AC41" s="2"/>
      <c r="AD41" s="2"/>
      <c r="AE41" s="2"/>
      <c r="AF41" s="55">
        <v>5082</v>
      </c>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row>
    <row r="42" spans="1:75" x14ac:dyDescent="0.3">
      <c r="A42" s="7" t="s">
        <v>1150</v>
      </c>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row>
    <row r="43" spans="1:75" x14ac:dyDescent="0.3">
      <c r="A43" s="21" t="s">
        <v>1151</v>
      </c>
      <c r="B43" s="268" t="s">
        <v>1162</v>
      </c>
      <c r="AA43" s="2"/>
      <c r="AB43" s="2"/>
      <c r="AC43" s="2"/>
      <c r="AD43" s="2"/>
      <c r="AE43" s="2"/>
      <c r="AF43" s="55">
        <v>23747</v>
      </c>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row>
    <row r="44" spans="1:75" x14ac:dyDescent="0.3">
      <c r="A44" s="21" t="s">
        <v>1152</v>
      </c>
      <c r="B44" s="268" t="s">
        <v>1157</v>
      </c>
      <c r="AA44" s="2"/>
      <c r="AB44" s="2"/>
      <c r="AC44" s="2"/>
      <c r="AD44" s="2"/>
      <c r="AE44" s="2"/>
      <c r="AF44" s="55">
        <v>343</v>
      </c>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row>
    <row r="45" spans="1:75" x14ac:dyDescent="0.3">
      <c r="A45" s="21" t="s">
        <v>1153</v>
      </c>
      <c r="B45" s="268" t="s">
        <v>1157</v>
      </c>
      <c r="AA45" s="2"/>
      <c r="AB45" s="2"/>
      <c r="AC45" s="2"/>
      <c r="AD45" s="2"/>
      <c r="AE45" s="2"/>
      <c r="AF45" s="55">
        <v>2769706</v>
      </c>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row>
    <row r="46" spans="1:75" x14ac:dyDescent="0.3">
      <c r="A46" s="21" t="s">
        <v>643</v>
      </c>
      <c r="B46" s="268" t="s">
        <v>1157</v>
      </c>
      <c r="AA46" s="2"/>
      <c r="AB46" s="2"/>
      <c r="AC46" s="2"/>
      <c r="AD46" s="2"/>
      <c r="AE46" s="2"/>
      <c r="AF46" s="55">
        <v>11997</v>
      </c>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row>
    <row r="47" spans="1:75" x14ac:dyDescent="0.3">
      <c r="A47" s="21" t="s">
        <v>644</v>
      </c>
      <c r="B47" s="268" t="s">
        <v>1157</v>
      </c>
      <c r="AA47" s="2"/>
      <c r="AB47" s="2"/>
      <c r="AC47" s="2"/>
      <c r="AD47" s="2"/>
      <c r="AE47" s="2"/>
      <c r="AF47" s="55">
        <v>0</v>
      </c>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row>
    <row r="48" spans="1:75" x14ac:dyDescent="0.3">
      <c r="A48" s="21" t="s">
        <v>1154</v>
      </c>
      <c r="B48" s="268" t="s">
        <v>1157</v>
      </c>
      <c r="AA48" s="2"/>
      <c r="AB48" s="2"/>
      <c r="AC48" s="2"/>
      <c r="AD48" s="2"/>
      <c r="AE48" s="2"/>
      <c r="AF48" s="55">
        <v>983479</v>
      </c>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row>
    <row r="49" spans="1:75" x14ac:dyDescent="0.3">
      <c r="AA49" s="2"/>
      <c r="AB49" s="2"/>
      <c r="AC49" s="2"/>
      <c r="AD49" s="2"/>
      <c r="AE49" s="2"/>
      <c r="AF49" s="55">
        <v>5.87</v>
      </c>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row>
    <row r="51" spans="1:75" s="225" customFormat="1" ht="13.8" x14ac:dyDescent="0.3">
      <c r="A51" s="225" t="s">
        <v>137</v>
      </c>
    </row>
    <row r="53" spans="1:75" x14ac:dyDescent="0.3">
      <c r="A53" s="4" t="s">
        <v>1160</v>
      </c>
      <c r="AF53" s="69">
        <f ca="1">AF11</f>
        <v>5.6073426911616042E-2</v>
      </c>
      <c r="AG53" s="69">
        <f ca="1">AG11</f>
        <v>7.9187401386018555E-2</v>
      </c>
      <c r="AH53" s="69">
        <f t="shared" ref="AH53:BW53" ca="1" si="12">AH11</f>
        <v>9.1932449877586891E-2</v>
      </c>
      <c r="AI53" s="69">
        <f t="shared" ca="1" si="12"/>
        <v>0.10732825534728185</v>
      </c>
      <c r="AJ53" s="69">
        <f t="shared" ca="1" si="12"/>
        <v>0.11912232529878741</v>
      </c>
      <c r="AK53" s="69">
        <f t="shared" ca="1" si="12"/>
        <v>0.13752071644382052</v>
      </c>
      <c r="AL53" s="69">
        <f t="shared" ca="1" si="12"/>
        <v>0.14399867262995752</v>
      </c>
      <c r="AM53" s="69">
        <f t="shared" ca="1" si="12"/>
        <v>0.14136719115440347</v>
      </c>
      <c r="AN53" s="69">
        <f t="shared" ca="1" si="12"/>
        <v>0.14109044896089068</v>
      </c>
      <c r="AO53" s="69">
        <f t="shared" ca="1" si="12"/>
        <v>0.14259275751601697</v>
      </c>
      <c r="AP53" s="69">
        <f t="shared" ca="1" si="12"/>
        <v>0.14571530334963356</v>
      </c>
      <c r="AQ53" s="69">
        <f t="shared" ca="1" si="12"/>
        <v>0.14758369983567107</v>
      </c>
      <c r="AR53" s="69">
        <f t="shared" ca="1" si="12"/>
        <v>0.14758910308368026</v>
      </c>
      <c r="AS53" s="69">
        <f t="shared" ca="1" si="12"/>
        <v>0.14831842578720936</v>
      </c>
      <c r="AT53" s="69">
        <f t="shared" ca="1" si="12"/>
        <v>0.1530047296593228</v>
      </c>
      <c r="AU53" s="69">
        <f t="shared" ca="1" si="12"/>
        <v>0.1559520301895867</v>
      </c>
      <c r="AV53" s="69">
        <f t="shared" ca="1" si="12"/>
        <v>0.14524574346664784</v>
      </c>
      <c r="AW53" s="69">
        <f t="shared" ca="1" si="12"/>
        <v>0.14887876326693555</v>
      </c>
      <c r="AX53" s="69">
        <f t="shared" ca="1" si="12"/>
        <v>0.15370058873002523</v>
      </c>
      <c r="AY53" s="69">
        <f t="shared" ca="1" si="12"/>
        <v>0.15881509794553272</v>
      </c>
      <c r="AZ53" s="69">
        <f t="shared" ca="1" si="12"/>
        <v>0.1676701124616608</v>
      </c>
      <c r="BA53" s="69">
        <f t="shared" ca="1" si="12"/>
        <v>0.17496929166097994</v>
      </c>
      <c r="BB53" s="69">
        <f t="shared" ca="1" si="12"/>
        <v>0.192191894127378</v>
      </c>
      <c r="BC53" s="69">
        <f t="shared" ca="1" si="12"/>
        <v>0.21813564875491481</v>
      </c>
      <c r="BD53" s="69">
        <f t="shared" ca="1" si="12"/>
        <v>0.25746464117338919</v>
      </c>
      <c r="BE53" s="69">
        <f t="shared" ca="1" si="12"/>
        <v>0.30384479717813051</v>
      </c>
      <c r="BF53" s="69">
        <f t="shared" ca="1" si="12"/>
        <v>0.39775030401297123</v>
      </c>
      <c r="BG53" s="69">
        <f t="shared" ca="1" si="12"/>
        <v>0.61467272421336028</v>
      </c>
      <c r="BH53" s="69">
        <f t="shared" ca="1" si="12"/>
        <v>1</v>
      </c>
      <c r="BI53" s="69">
        <f t="shared" ca="1" si="12"/>
        <v>0</v>
      </c>
      <c r="BJ53" s="69">
        <f t="shared" ca="1" si="12"/>
        <v>0</v>
      </c>
      <c r="BK53" s="69">
        <f t="shared" ca="1" si="12"/>
        <v>0</v>
      </c>
      <c r="BL53" s="69">
        <f t="shared" ca="1" si="12"/>
        <v>0</v>
      </c>
      <c r="BM53" s="69">
        <f t="shared" ca="1" si="12"/>
        <v>0</v>
      </c>
      <c r="BN53" s="69">
        <f t="shared" ca="1" si="12"/>
        <v>0</v>
      </c>
      <c r="BO53" s="69">
        <f t="shared" ca="1" si="12"/>
        <v>0</v>
      </c>
      <c r="BP53" s="69">
        <f t="shared" ca="1" si="12"/>
        <v>0</v>
      </c>
      <c r="BQ53" s="69">
        <f t="shared" ca="1" si="12"/>
        <v>0</v>
      </c>
      <c r="BR53" s="69">
        <f t="shared" ca="1" si="12"/>
        <v>0</v>
      </c>
      <c r="BS53" s="69">
        <f t="shared" ca="1" si="12"/>
        <v>0</v>
      </c>
      <c r="BT53" s="69">
        <f t="shared" ca="1" si="12"/>
        <v>0</v>
      </c>
      <c r="BU53" s="69">
        <f t="shared" ca="1" si="12"/>
        <v>0</v>
      </c>
      <c r="BV53" s="69">
        <f t="shared" ca="1" si="12"/>
        <v>0</v>
      </c>
      <c r="BW53" s="69">
        <f t="shared" si="12"/>
        <v>0</v>
      </c>
    </row>
    <row r="54" spans="1:75" x14ac:dyDescent="0.3">
      <c r="A54" s="4" t="s">
        <v>1164</v>
      </c>
      <c r="AF54" s="69">
        <f>B74/100</f>
        <v>0.2</v>
      </c>
      <c r="AG54" s="69">
        <f>AF54</f>
        <v>0.2</v>
      </c>
      <c r="AH54" s="69">
        <f t="shared" ref="AH54:BW54" si="13">AG54</f>
        <v>0.2</v>
      </c>
      <c r="AI54" s="69">
        <f t="shared" si="13"/>
        <v>0.2</v>
      </c>
      <c r="AJ54" s="69">
        <f t="shared" si="13"/>
        <v>0.2</v>
      </c>
      <c r="AK54" s="69">
        <f t="shared" si="13"/>
        <v>0.2</v>
      </c>
      <c r="AL54" s="69">
        <f t="shared" si="13"/>
        <v>0.2</v>
      </c>
      <c r="AM54" s="69">
        <f t="shared" si="13"/>
        <v>0.2</v>
      </c>
      <c r="AN54" s="69">
        <f t="shared" si="13"/>
        <v>0.2</v>
      </c>
      <c r="AO54" s="69">
        <f t="shared" si="13"/>
        <v>0.2</v>
      </c>
      <c r="AP54" s="69">
        <f t="shared" si="13"/>
        <v>0.2</v>
      </c>
      <c r="AQ54" s="69">
        <f t="shared" si="13"/>
        <v>0.2</v>
      </c>
      <c r="AR54" s="69">
        <f t="shared" si="13"/>
        <v>0.2</v>
      </c>
      <c r="AS54" s="69">
        <f t="shared" si="13"/>
        <v>0.2</v>
      </c>
      <c r="AT54" s="69">
        <f t="shared" si="13"/>
        <v>0.2</v>
      </c>
      <c r="AU54" s="69">
        <f t="shared" si="13"/>
        <v>0.2</v>
      </c>
      <c r="AV54" s="69">
        <f t="shared" si="13"/>
        <v>0.2</v>
      </c>
      <c r="AW54" s="69">
        <f t="shared" si="13"/>
        <v>0.2</v>
      </c>
      <c r="AX54" s="69">
        <f t="shared" si="13"/>
        <v>0.2</v>
      </c>
      <c r="AY54" s="69">
        <f t="shared" si="13"/>
        <v>0.2</v>
      </c>
      <c r="AZ54" s="69">
        <f t="shared" si="13"/>
        <v>0.2</v>
      </c>
      <c r="BA54" s="69">
        <f t="shared" si="13"/>
        <v>0.2</v>
      </c>
      <c r="BB54" s="69">
        <f t="shared" si="13"/>
        <v>0.2</v>
      </c>
      <c r="BC54" s="69">
        <f t="shared" si="13"/>
        <v>0.2</v>
      </c>
      <c r="BD54" s="69">
        <f t="shared" si="13"/>
        <v>0.2</v>
      </c>
      <c r="BE54" s="69">
        <f t="shared" si="13"/>
        <v>0.2</v>
      </c>
      <c r="BF54" s="69">
        <f t="shared" si="13"/>
        <v>0.2</v>
      </c>
      <c r="BG54" s="69">
        <f t="shared" si="13"/>
        <v>0.2</v>
      </c>
      <c r="BH54" s="69">
        <f t="shared" si="13"/>
        <v>0.2</v>
      </c>
      <c r="BI54" s="69">
        <f t="shared" si="13"/>
        <v>0.2</v>
      </c>
      <c r="BJ54" s="69">
        <f t="shared" si="13"/>
        <v>0.2</v>
      </c>
      <c r="BK54" s="69">
        <f t="shared" si="13"/>
        <v>0.2</v>
      </c>
      <c r="BL54" s="69">
        <f t="shared" si="13"/>
        <v>0.2</v>
      </c>
      <c r="BM54" s="69">
        <f t="shared" si="13"/>
        <v>0.2</v>
      </c>
      <c r="BN54" s="69">
        <f t="shared" si="13"/>
        <v>0.2</v>
      </c>
      <c r="BO54" s="69">
        <f t="shared" si="13"/>
        <v>0.2</v>
      </c>
      <c r="BP54" s="69">
        <f t="shared" si="13"/>
        <v>0.2</v>
      </c>
      <c r="BQ54" s="69">
        <f t="shared" si="13"/>
        <v>0.2</v>
      </c>
      <c r="BR54" s="69">
        <f t="shared" si="13"/>
        <v>0.2</v>
      </c>
      <c r="BS54" s="69">
        <f t="shared" si="13"/>
        <v>0.2</v>
      </c>
      <c r="BT54" s="69">
        <f t="shared" si="13"/>
        <v>0.2</v>
      </c>
      <c r="BU54" s="69">
        <f t="shared" si="13"/>
        <v>0.2</v>
      </c>
      <c r="BV54" s="69">
        <f t="shared" si="13"/>
        <v>0.2</v>
      </c>
      <c r="BW54" s="69">
        <f t="shared" si="13"/>
        <v>0.2</v>
      </c>
    </row>
    <row r="56" spans="1:75" s="34" customFormat="1" x14ac:dyDescent="0.3">
      <c r="A56" s="4" t="s">
        <v>1155</v>
      </c>
      <c r="B56" s="4"/>
      <c r="C56" s="4"/>
      <c r="D56" s="4"/>
      <c r="E56" s="4"/>
      <c r="F56" s="4"/>
      <c r="G56" s="4"/>
      <c r="H56" s="4"/>
      <c r="I56" s="4"/>
      <c r="J56" s="4"/>
      <c r="K56" s="4"/>
      <c r="L56" s="4"/>
      <c r="M56" s="4"/>
      <c r="N56" s="4"/>
      <c r="O56" s="4"/>
      <c r="P56" s="4"/>
      <c r="Q56" s="4"/>
      <c r="R56" s="4"/>
      <c r="S56" s="4"/>
      <c r="T56" s="4"/>
      <c r="U56" s="4"/>
      <c r="V56" s="4"/>
      <c r="W56" s="4"/>
      <c r="X56" s="4"/>
      <c r="Y56" s="4"/>
      <c r="Z56" s="4"/>
      <c r="AF56" s="48">
        <f>'Balanço Planilhado'!AF32</f>
        <v>10914878</v>
      </c>
      <c r="AG56" s="48">
        <f ca="1">AG57+AG58</f>
        <v>10050578.634520352</v>
      </c>
      <c r="AH56" s="48">
        <f t="shared" ref="AH56:BW56" ca="1" si="14">AH57+AH58</f>
        <v>9126629.2316554803</v>
      </c>
      <c r="AI56" s="48">
        <f t="shared" ca="1" si="14"/>
        <v>8147113.1249775933</v>
      </c>
      <c r="AJ56" s="48">
        <f t="shared" ca="1" si="14"/>
        <v>7176642.3472081479</v>
      </c>
      <c r="AK56" s="48">
        <f t="shared" ca="1" si="14"/>
        <v>6189742.6180731775</v>
      </c>
      <c r="AL56" s="48">
        <f t="shared" ca="1" si="14"/>
        <v>5298466.9207898444</v>
      </c>
      <c r="AM56" s="48">
        <f t="shared" ca="1" si="14"/>
        <v>4549475.8452820657</v>
      </c>
      <c r="AN56" s="48">
        <f t="shared" ca="1" si="14"/>
        <v>3907626.4912461597</v>
      </c>
      <c r="AO56" s="48">
        <f t="shared" ca="1" si="14"/>
        <v>3350465.8971540187</v>
      </c>
      <c r="AP56" s="48">
        <f t="shared" ca="1" si="14"/>
        <v>2862291.2314348267</v>
      </c>
      <c r="AQ56" s="48">
        <f t="shared" ca="1" si="14"/>
        <v>2439903.6966751316</v>
      </c>
      <c r="AR56" s="48">
        <f t="shared" ca="1" si="14"/>
        <v>2079840.4951192287</v>
      </c>
      <c r="AS56" s="48">
        <f t="shared" ca="1" si="14"/>
        <v>1771402.0212880429</v>
      </c>
      <c r="AT56" s="48">
        <f t="shared" ca="1" si="14"/>
        <v>1500410.5981846256</v>
      </c>
      <c r="AU56" s="48">
        <f t="shared" ca="1" si="14"/>
        <v>1266460.7822799424</v>
      </c>
      <c r="AV56" s="48">
        <f t="shared" ca="1" si="14"/>
        <v>1082552.1059828191</v>
      </c>
      <c r="AW56" s="48">
        <f t="shared" ca="1" si="14"/>
        <v>921423.43341692584</v>
      </c>
      <c r="AX56" s="48">
        <f t="shared" ca="1" si="14"/>
        <v>779841.76209064899</v>
      </c>
      <c r="AY56" s="48">
        <f t="shared" ca="1" si="14"/>
        <v>656034.15515374904</v>
      </c>
      <c r="AZ56" s="48">
        <f t="shared" ca="1" si="14"/>
        <v>546082.27318090643</v>
      </c>
      <c r="BA56" s="48">
        <f t="shared" ca="1" si="14"/>
        <v>450582.06133186561</v>
      </c>
      <c r="BB56" s="48">
        <f t="shared" ca="1" si="14"/>
        <v>364035.92550798447</v>
      </c>
      <c r="BC56" s="48">
        <f t="shared" ca="1" si="14"/>
        <v>284685.82748801704</v>
      </c>
      <c r="BD56" s="48">
        <f t="shared" ca="1" si="14"/>
        <v>211459.06598442333</v>
      </c>
      <c r="BE56" s="48">
        <f t="shared" ca="1" si="14"/>
        <v>147290.67090894456</v>
      </c>
      <c r="BF56" s="48">
        <f t="shared" ca="1" si="14"/>
        <v>88813.55210902488</v>
      </c>
      <c r="BG56" s="48">
        <f t="shared" ca="1" si="14"/>
        <v>34388.860395367148</v>
      </c>
      <c r="BH56" s="48">
        <f t="shared" ca="1" si="14"/>
        <v>271</v>
      </c>
      <c r="BI56" s="48">
        <f t="shared" ca="1" si="14"/>
        <v>271</v>
      </c>
      <c r="BJ56" s="48">
        <f t="shared" ca="1" si="14"/>
        <v>271</v>
      </c>
      <c r="BK56" s="48">
        <f t="shared" ca="1" si="14"/>
        <v>271</v>
      </c>
      <c r="BL56" s="48">
        <f t="shared" ca="1" si="14"/>
        <v>271</v>
      </c>
      <c r="BM56" s="48">
        <f t="shared" ca="1" si="14"/>
        <v>271</v>
      </c>
      <c r="BN56" s="48">
        <f t="shared" ca="1" si="14"/>
        <v>271</v>
      </c>
      <c r="BO56" s="48">
        <f t="shared" ca="1" si="14"/>
        <v>271</v>
      </c>
      <c r="BP56" s="48">
        <f t="shared" ca="1" si="14"/>
        <v>271</v>
      </c>
      <c r="BQ56" s="48">
        <f t="shared" ca="1" si="14"/>
        <v>271</v>
      </c>
      <c r="BR56" s="48">
        <f t="shared" ca="1" si="14"/>
        <v>271</v>
      </c>
      <c r="BS56" s="48">
        <f t="shared" ca="1" si="14"/>
        <v>271</v>
      </c>
      <c r="BT56" s="48">
        <f t="shared" ca="1" si="14"/>
        <v>271</v>
      </c>
      <c r="BU56" s="48">
        <f t="shared" ca="1" si="14"/>
        <v>271</v>
      </c>
      <c r="BV56" s="48">
        <f t="shared" ca="1" si="14"/>
        <v>271</v>
      </c>
      <c r="BW56" s="48">
        <f t="shared" ca="1" si="14"/>
        <v>271</v>
      </c>
    </row>
    <row r="57" spans="1:75" x14ac:dyDescent="0.3">
      <c r="A57" s="5" t="s">
        <v>1167</v>
      </c>
      <c r="AF57" s="51">
        <f>AF66-AF74</f>
        <v>10914607</v>
      </c>
      <c r="AG57" s="51">
        <f ca="1">AF57-AG63</f>
        <v>10050307.634520352</v>
      </c>
      <c r="AH57" s="51">
        <f t="shared" ref="AH57:BW57" ca="1" si="15">AG57-AH63</f>
        <v>9126358.2316554803</v>
      </c>
      <c r="AI57" s="51">
        <f t="shared" ca="1" si="15"/>
        <v>8146842.1249775933</v>
      </c>
      <c r="AJ57" s="51">
        <f t="shared" ca="1" si="15"/>
        <v>7176371.3472081479</v>
      </c>
      <c r="AK57" s="51">
        <f t="shared" ca="1" si="15"/>
        <v>6189471.6180731775</v>
      </c>
      <c r="AL57" s="51">
        <f t="shared" ca="1" si="15"/>
        <v>5298195.9207898444</v>
      </c>
      <c r="AM57" s="51">
        <f t="shared" ca="1" si="15"/>
        <v>4549204.8452820657</v>
      </c>
      <c r="AN57" s="51">
        <f t="shared" ca="1" si="15"/>
        <v>3907355.4912461597</v>
      </c>
      <c r="AO57" s="51">
        <f t="shared" ca="1" si="15"/>
        <v>3350194.8971540187</v>
      </c>
      <c r="AP57" s="51">
        <f t="shared" ca="1" si="15"/>
        <v>2862020.2314348267</v>
      </c>
      <c r="AQ57" s="51">
        <f t="shared" ca="1" si="15"/>
        <v>2439632.6966751316</v>
      </c>
      <c r="AR57" s="51">
        <f t="shared" ca="1" si="15"/>
        <v>2079569.4951192287</v>
      </c>
      <c r="AS57" s="51">
        <f t="shared" ca="1" si="15"/>
        <v>1771131.0212880429</v>
      </c>
      <c r="AT57" s="51">
        <f t="shared" ca="1" si="15"/>
        <v>1500139.5981846256</v>
      </c>
      <c r="AU57" s="51">
        <f t="shared" ca="1" si="15"/>
        <v>1266189.7822799424</v>
      </c>
      <c r="AV57" s="51">
        <f t="shared" ca="1" si="15"/>
        <v>1082281.1059828191</v>
      </c>
      <c r="AW57" s="51">
        <f t="shared" ca="1" si="15"/>
        <v>921152.43341692584</v>
      </c>
      <c r="AX57" s="51">
        <f t="shared" ca="1" si="15"/>
        <v>779570.76209064899</v>
      </c>
      <c r="AY57" s="51">
        <f t="shared" ca="1" si="15"/>
        <v>655763.15515374904</v>
      </c>
      <c r="AZ57" s="51">
        <f t="shared" ca="1" si="15"/>
        <v>545811.27318090643</v>
      </c>
      <c r="BA57" s="51">
        <f t="shared" ca="1" si="15"/>
        <v>450311.06133186561</v>
      </c>
      <c r="BB57" s="51">
        <f t="shared" ca="1" si="15"/>
        <v>363764.92550798447</v>
      </c>
      <c r="BC57" s="51">
        <f t="shared" ca="1" si="15"/>
        <v>284414.82748801704</v>
      </c>
      <c r="BD57" s="51">
        <f t="shared" ca="1" si="15"/>
        <v>211188.06598442333</v>
      </c>
      <c r="BE57" s="51">
        <f t="shared" ca="1" si="15"/>
        <v>147019.67090894456</v>
      </c>
      <c r="BF57" s="51">
        <f t="shared" ca="1" si="15"/>
        <v>88542.55210902488</v>
      </c>
      <c r="BG57" s="51">
        <f t="shared" ca="1" si="15"/>
        <v>34117.860395367148</v>
      </c>
      <c r="BH57" s="51">
        <f t="shared" ca="1" si="15"/>
        <v>0</v>
      </c>
      <c r="BI57" s="51">
        <f t="shared" ca="1" si="15"/>
        <v>0</v>
      </c>
      <c r="BJ57" s="51">
        <f t="shared" ca="1" si="15"/>
        <v>0</v>
      </c>
      <c r="BK57" s="51">
        <f t="shared" ca="1" si="15"/>
        <v>0</v>
      </c>
      <c r="BL57" s="51">
        <f t="shared" ca="1" si="15"/>
        <v>0</v>
      </c>
      <c r="BM57" s="51">
        <f t="shared" ca="1" si="15"/>
        <v>0</v>
      </c>
      <c r="BN57" s="51">
        <f t="shared" ca="1" si="15"/>
        <v>0</v>
      </c>
      <c r="BO57" s="51">
        <f t="shared" ca="1" si="15"/>
        <v>0</v>
      </c>
      <c r="BP57" s="51">
        <f t="shared" ca="1" si="15"/>
        <v>0</v>
      </c>
      <c r="BQ57" s="51">
        <f t="shared" ca="1" si="15"/>
        <v>0</v>
      </c>
      <c r="BR57" s="51">
        <f t="shared" ca="1" si="15"/>
        <v>0</v>
      </c>
      <c r="BS57" s="51">
        <f t="shared" ca="1" si="15"/>
        <v>0</v>
      </c>
      <c r="BT57" s="51">
        <f t="shared" ca="1" si="15"/>
        <v>0</v>
      </c>
      <c r="BU57" s="51">
        <f t="shared" ca="1" si="15"/>
        <v>0</v>
      </c>
      <c r="BV57" s="51">
        <f t="shared" ca="1" si="15"/>
        <v>0</v>
      </c>
      <c r="BW57" s="51">
        <f t="shared" ca="1" si="15"/>
        <v>0</v>
      </c>
    </row>
    <row r="58" spans="1:75" x14ac:dyDescent="0.3">
      <c r="A58" s="5" t="s">
        <v>1168</v>
      </c>
      <c r="AF58" s="51">
        <f>AF74</f>
        <v>271</v>
      </c>
      <c r="AG58" s="51">
        <f>AF58+AG61-AG64</f>
        <v>271</v>
      </c>
      <c r="AH58" s="51">
        <f t="shared" ref="AH58:BW58" si="16">AG58+AH61-AH64</f>
        <v>271</v>
      </c>
      <c r="AI58" s="51">
        <f t="shared" si="16"/>
        <v>271</v>
      </c>
      <c r="AJ58" s="51">
        <f t="shared" si="16"/>
        <v>271</v>
      </c>
      <c r="AK58" s="51">
        <f t="shared" si="16"/>
        <v>271</v>
      </c>
      <c r="AL58" s="51">
        <f t="shared" si="16"/>
        <v>271</v>
      </c>
      <c r="AM58" s="51">
        <f t="shared" si="16"/>
        <v>271</v>
      </c>
      <c r="AN58" s="51">
        <f t="shared" si="16"/>
        <v>271</v>
      </c>
      <c r="AO58" s="51">
        <f t="shared" si="16"/>
        <v>271</v>
      </c>
      <c r="AP58" s="51">
        <f t="shared" si="16"/>
        <v>271</v>
      </c>
      <c r="AQ58" s="51">
        <f t="shared" si="16"/>
        <v>271</v>
      </c>
      <c r="AR58" s="51">
        <f t="shared" si="16"/>
        <v>271</v>
      </c>
      <c r="AS58" s="51">
        <f t="shared" si="16"/>
        <v>271</v>
      </c>
      <c r="AT58" s="51">
        <f t="shared" si="16"/>
        <v>271</v>
      </c>
      <c r="AU58" s="51">
        <f t="shared" si="16"/>
        <v>271</v>
      </c>
      <c r="AV58" s="51">
        <f t="shared" si="16"/>
        <v>271</v>
      </c>
      <c r="AW58" s="51">
        <f t="shared" si="16"/>
        <v>271</v>
      </c>
      <c r="AX58" s="51">
        <f t="shared" si="16"/>
        <v>271</v>
      </c>
      <c r="AY58" s="51">
        <f t="shared" si="16"/>
        <v>271</v>
      </c>
      <c r="AZ58" s="51">
        <f t="shared" si="16"/>
        <v>271</v>
      </c>
      <c r="BA58" s="51">
        <f t="shared" si="16"/>
        <v>271</v>
      </c>
      <c r="BB58" s="51">
        <f t="shared" si="16"/>
        <v>271</v>
      </c>
      <c r="BC58" s="51">
        <f t="shared" si="16"/>
        <v>271</v>
      </c>
      <c r="BD58" s="51">
        <f t="shared" si="16"/>
        <v>271</v>
      </c>
      <c r="BE58" s="51">
        <f t="shared" si="16"/>
        <v>271</v>
      </c>
      <c r="BF58" s="51">
        <f t="shared" si="16"/>
        <v>271</v>
      </c>
      <c r="BG58" s="51">
        <f t="shared" si="16"/>
        <v>271</v>
      </c>
      <c r="BH58" s="51">
        <f t="shared" si="16"/>
        <v>271</v>
      </c>
      <c r="BI58" s="51">
        <f t="shared" si="16"/>
        <v>271</v>
      </c>
      <c r="BJ58" s="51">
        <f t="shared" si="16"/>
        <v>271</v>
      </c>
      <c r="BK58" s="51">
        <f t="shared" si="16"/>
        <v>271</v>
      </c>
      <c r="BL58" s="51">
        <f t="shared" si="16"/>
        <v>271</v>
      </c>
      <c r="BM58" s="51">
        <f t="shared" si="16"/>
        <v>271</v>
      </c>
      <c r="BN58" s="51">
        <f t="shared" si="16"/>
        <v>271</v>
      </c>
      <c r="BO58" s="51">
        <f t="shared" si="16"/>
        <v>271</v>
      </c>
      <c r="BP58" s="51">
        <f t="shared" si="16"/>
        <v>271</v>
      </c>
      <c r="BQ58" s="51">
        <f t="shared" si="16"/>
        <v>271</v>
      </c>
      <c r="BR58" s="51">
        <f t="shared" si="16"/>
        <v>271</v>
      </c>
      <c r="BS58" s="51">
        <f t="shared" si="16"/>
        <v>271</v>
      </c>
      <c r="BT58" s="51">
        <f t="shared" si="16"/>
        <v>271</v>
      </c>
      <c r="BU58" s="51">
        <f t="shared" si="16"/>
        <v>271</v>
      </c>
      <c r="BV58" s="51">
        <f t="shared" si="16"/>
        <v>271</v>
      </c>
      <c r="BW58" s="51">
        <f t="shared" si="16"/>
        <v>271</v>
      </c>
    </row>
    <row r="59" spans="1:75" x14ac:dyDescent="0.3">
      <c r="A59" s="1"/>
    </row>
    <row r="60" spans="1:75" s="34" customFormat="1" x14ac:dyDescent="0.3">
      <c r="A60" s="7" t="s">
        <v>1169</v>
      </c>
      <c r="B60" s="4"/>
      <c r="C60" s="4"/>
      <c r="D60" s="4"/>
      <c r="E60" s="4"/>
      <c r="F60" s="4"/>
      <c r="G60" s="4"/>
      <c r="H60" s="4"/>
      <c r="I60" s="4"/>
      <c r="J60" s="4"/>
      <c r="K60" s="4"/>
      <c r="L60" s="4"/>
      <c r="M60" s="4"/>
      <c r="N60" s="4"/>
      <c r="O60" s="4"/>
      <c r="P60" s="4"/>
      <c r="Q60" s="4"/>
      <c r="R60" s="4"/>
      <c r="S60" s="4"/>
      <c r="T60" s="4"/>
      <c r="U60" s="4"/>
      <c r="V60" s="4"/>
      <c r="W60" s="4"/>
      <c r="X60" s="4"/>
      <c r="Y60" s="4"/>
      <c r="Z60" s="4"/>
      <c r="AG60" s="48">
        <f>AG61</f>
        <v>54.2</v>
      </c>
      <c r="AH60" s="48">
        <f t="shared" ref="AH60:BW60" si="17">AH61</f>
        <v>54.2</v>
      </c>
      <c r="AI60" s="48">
        <f t="shared" si="17"/>
        <v>54.2</v>
      </c>
      <c r="AJ60" s="48">
        <f t="shared" si="17"/>
        <v>54.2</v>
      </c>
      <c r="AK60" s="48">
        <f t="shared" si="17"/>
        <v>54.2</v>
      </c>
      <c r="AL60" s="48">
        <f t="shared" si="17"/>
        <v>54.2</v>
      </c>
      <c r="AM60" s="48">
        <f t="shared" si="17"/>
        <v>54.2</v>
      </c>
      <c r="AN60" s="48">
        <f t="shared" si="17"/>
        <v>54.2</v>
      </c>
      <c r="AO60" s="48">
        <f t="shared" si="17"/>
        <v>54.2</v>
      </c>
      <c r="AP60" s="48">
        <f t="shared" si="17"/>
        <v>54.2</v>
      </c>
      <c r="AQ60" s="48">
        <f t="shared" si="17"/>
        <v>54.2</v>
      </c>
      <c r="AR60" s="48">
        <f t="shared" si="17"/>
        <v>54.2</v>
      </c>
      <c r="AS60" s="48">
        <f t="shared" si="17"/>
        <v>54.2</v>
      </c>
      <c r="AT60" s="48">
        <f t="shared" si="17"/>
        <v>54.2</v>
      </c>
      <c r="AU60" s="48">
        <f t="shared" si="17"/>
        <v>54.2</v>
      </c>
      <c r="AV60" s="48">
        <f t="shared" si="17"/>
        <v>54.2</v>
      </c>
      <c r="AW60" s="48">
        <f t="shared" si="17"/>
        <v>54.2</v>
      </c>
      <c r="AX60" s="48">
        <f t="shared" si="17"/>
        <v>54.2</v>
      </c>
      <c r="AY60" s="48">
        <f t="shared" si="17"/>
        <v>54.2</v>
      </c>
      <c r="AZ60" s="48">
        <f t="shared" si="17"/>
        <v>54.2</v>
      </c>
      <c r="BA60" s="48">
        <f t="shared" si="17"/>
        <v>54.2</v>
      </c>
      <c r="BB60" s="48">
        <f t="shared" si="17"/>
        <v>54.2</v>
      </c>
      <c r="BC60" s="48">
        <f t="shared" si="17"/>
        <v>54.2</v>
      </c>
      <c r="BD60" s="48">
        <f t="shared" si="17"/>
        <v>54.2</v>
      </c>
      <c r="BE60" s="48">
        <f t="shared" si="17"/>
        <v>54.2</v>
      </c>
      <c r="BF60" s="48">
        <f t="shared" si="17"/>
        <v>54.2</v>
      </c>
      <c r="BG60" s="48">
        <f t="shared" si="17"/>
        <v>54.2</v>
      </c>
      <c r="BH60" s="48">
        <f t="shared" si="17"/>
        <v>54.2</v>
      </c>
      <c r="BI60" s="48">
        <f t="shared" si="17"/>
        <v>54.2</v>
      </c>
      <c r="BJ60" s="48">
        <f t="shared" si="17"/>
        <v>54.2</v>
      </c>
      <c r="BK60" s="48">
        <f t="shared" si="17"/>
        <v>54.2</v>
      </c>
      <c r="BL60" s="48">
        <f t="shared" si="17"/>
        <v>54.2</v>
      </c>
      <c r="BM60" s="48">
        <f t="shared" si="17"/>
        <v>54.2</v>
      </c>
      <c r="BN60" s="48">
        <f t="shared" si="17"/>
        <v>54.2</v>
      </c>
      <c r="BO60" s="48">
        <f t="shared" si="17"/>
        <v>54.2</v>
      </c>
      <c r="BP60" s="48">
        <f t="shared" si="17"/>
        <v>54.2</v>
      </c>
      <c r="BQ60" s="48">
        <f t="shared" si="17"/>
        <v>54.2</v>
      </c>
      <c r="BR60" s="48">
        <f t="shared" si="17"/>
        <v>54.2</v>
      </c>
      <c r="BS60" s="48">
        <f t="shared" si="17"/>
        <v>54.2</v>
      </c>
      <c r="BT60" s="48">
        <f t="shared" si="17"/>
        <v>54.2</v>
      </c>
      <c r="BU60" s="48">
        <f t="shared" si="17"/>
        <v>54.2</v>
      </c>
      <c r="BV60" s="48">
        <f t="shared" si="17"/>
        <v>54.2</v>
      </c>
      <c r="BW60" s="48">
        <f t="shared" si="17"/>
        <v>54.2</v>
      </c>
    </row>
    <row r="61" spans="1:75" x14ac:dyDescent="0.3">
      <c r="A61" s="21" t="s">
        <v>1166</v>
      </c>
      <c r="AG61" s="51">
        <f>AG64*100%</f>
        <v>54.2</v>
      </c>
      <c r="AH61" s="51">
        <f t="shared" ref="AH61:BW61" si="18">AH64*100%</f>
        <v>54.2</v>
      </c>
      <c r="AI61" s="51">
        <f t="shared" si="18"/>
        <v>54.2</v>
      </c>
      <c r="AJ61" s="51">
        <f t="shared" si="18"/>
        <v>54.2</v>
      </c>
      <c r="AK61" s="51">
        <f t="shared" si="18"/>
        <v>54.2</v>
      </c>
      <c r="AL61" s="51">
        <f t="shared" si="18"/>
        <v>54.2</v>
      </c>
      <c r="AM61" s="51">
        <f t="shared" si="18"/>
        <v>54.2</v>
      </c>
      <c r="AN61" s="51">
        <f t="shared" si="18"/>
        <v>54.2</v>
      </c>
      <c r="AO61" s="51">
        <f t="shared" si="18"/>
        <v>54.2</v>
      </c>
      <c r="AP61" s="51">
        <f t="shared" si="18"/>
        <v>54.2</v>
      </c>
      <c r="AQ61" s="51">
        <f t="shared" si="18"/>
        <v>54.2</v>
      </c>
      <c r="AR61" s="51">
        <f t="shared" si="18"/>
        <v>54.2</v>
      </c>
      <c r="AS61" s="51">
        <f t="shared" si="18"/>
        <v>54.2</v>
      </c>
      <c r="AT61" s="51">
        <f t="shared" si="18"/>
        <v>54.2</v>
      </c>
      <c r="AU61" s="51">
        <f t="shared" si="18"/>
        <v>54.2</v>
      </c>
      <c r="AV61" s="51">
        <f t="shared" si="18"/>
        <v>54.2</v>
      </c>
      <c r="AW61" s="51">
        <f t="shared" si="18"/>
        <v>54.2</v>
      </c>
      <c r="AX61" s="51">
        <f t="shared" si="18"/>
        <v>54.2</v>
      </c>
      <c r="AY61" s="51">
        <f t="shared" si="18"/>
        <v>54.2</v>
      </c>
      <c r="AZ61" s="51">
        <f t="shared" si="18"/>
        <v>54.2</v>
      </c>
      <c r="BA61" s="51">
        <f t="shared" si="18"/>
        <v>54.2</v>
      </c>
      <c r="BB61" s="51">
        <f t="shared" si="18"/>
        <v>54.2</v>
      </c>
      <c r="BC61" s="51">
        <f t="shared" si="18"/>
        <v>54.2</v>
      </c>
      <c r="BD61" s="51">
        <f t="shared" si="18"/>
        <v>54.2</v>
      </c>
      <c r="BE61" s="51">
        <f t="shared" si="18"/>
        <v>54.2</v>
      </c>
      <c r="BF61" s="51">
        <f t="shared" si="18"/>
        <v>54.2</v>
      </c>
      <c r="BG61" s="51">
        <f t="shared" si="18"/>
        <v>54.2</v>
      </c>
      <c r="BH61" s="51">
        <f t="shared" si="18"/>
        <v>54.2</v>
      </c>
      <c r="BI61" s="51">
        <f t="shared" si="18"/>
        <v>54.2</v>
      </c>
      <c r="BJ61" s="51">
        <f t="shared" si="18"/>
        <v>54.2</v>
      </c>
      <c r="BK61" s="51">
        <f t="shared" si="18"/>
        <v>54.2</v>
      </c>
      <c r="BL61" s="51">
        <f t="shared" si="18"/>
        <v>54.2</v>
      </c>
      <c r="BM61" s="51">
        <f t="shared" si="18"/>
        <v>54.2</v>
      </c>
      <c r="BN61" s="51">
        <f t="shared" si="18"/>
        <v>54.2</v>
      </c>
      <c r="BO61" s="51">
        <f t="shared" si="18"/>
        <v>54.2</v>
      </c>
      <c r="BP61" s="51">
        <f t="shared" si="18"/>
        <v>54.2</v>
      </c>
      <c r="BQ61" s="51">
        <f t="shared" si="18"/>
        <v>54.2</v>
      </c>
      <c r="BR61" s="51">
        <f t="shared" si="18"/>
        <v>54.2</v>
      </c>
      <c r="BS61" s="51">
        <f t="shared" si="18"/>
        <v>54.2</v>
      </c>
      <c r="BT61" s="51">
        <f t="shared" si="18"/>
        <v>54.2</v>
      </c>
      <c r="BU61" s="51">
        <f t="shared" si="18"/>
        <v>54.2</v>
      </c>
      <c r="BV61" s="51">
        <f t="shared" si="18"/>
        <v>54.2</v>
      </c>
      <c r="BW61" s="51">
        <f t="shared" si="18"/>
        <v>54.2</v>
      </c>
    </row>
    <row r="62" spans="1:75" s="34" customFormat="1" x14ac:dyDescent="0.3">
      <c r="A62" s="7" t="s">
        <v>1163</v>
      </c>
      <c r="B62" s="4"/>
      <c r="C62" s="4"/>
      <c r="D62" s="4"/>
      <c r="E62" s="4"/>
      <c r="F62" s="4"/>
      <c r="G62" s="4"/>
      <c r="H62" s="4"/>
      <c r="I62" s="4"/>
      <c r="J62" s="4"/>
      <c r="K62" s="4"/>
      <c r="L62" s="4"/>
      <c r="M62" s="4"/>
      <c r="N62" s="4"/>
      <c r="O62" s="4"/>
      <c r="P62" s="4"/>
      <c r="Q62" s="4"/>
      <c r="R62" s="4"/>
      <c r="S62" s="4"/>
      <c r="T62" s="4"/>
      <c r="U62" s="4"/>
      <c r="V62" s="4"/>
      <c r="W62" s="4"/>
      <c r="X62" s="4"/>
      <c r="Y62" s="4"/>
      <c r="Z62" s="4"/>
      <c r="AG62" s="48">
        <f ca="1">AG63+AG64</f>
        <v>864353.56547964772</v>
      </c>
      <c r="AH62" s="48">
        <f t="shared" ref="AH62:BW62" ca="1" si="19">AH63+AH64</f>
        <v>924003.60286487103</v>
      </c>
      <c r="AI62" s="48">
        <f t="shared" ca="1" si="19"/>
        <v>979570.30667788698</v>
      </c>
      <c r="AJ62" s="48">
        <f t="shared" ca="1" si="19"/>
        <v>970524.97776944528</v>
      </c>
      <c r="AK62" s="48">
        <f t="shared" ca="1" si="19"/>
        <v>986953.92913496995</v>
      </c>
      <c r="AL62" s="48">
        <f t="shared" ca="1" si="19"/>
        <v>891329.89728333289</v>
      </c>
      <c r="AM62" s="48">
        <f t="shared" ca="1" si="19"/>
        <v>749045.27550777851</v>
      </c>
      <c r="AN62" s="48">
        <f t="shared" ca="1" si="19"/>
        <v>641903.55403590587</v>
      </c>
      <c r="AO62" s="48">
        <f t="shared" ca="1" si="19"/>
        <v>557214.79409214098</v>
      </c>
      <c r="AP62" s="48">
        <f t="shared" ca="1" si="19"/>
        <v>488228.86571919225</v>
      </c>
      <c r="AQ62" s="48">
        <f t="shared" ca="1" si="19"/>
        <v>422441.73475969536</v>
      </c>
      <c r="AR62" s="48">
        <f t="shared" ca="1" si="19"/>
        <v>360117.40155590285</v>
      </c>
      <c r="AS62" s="48">
        <f t="shared" ca="1" si="19"/>
        <v>308492.67383118579</v>
      </c>
      <c r="AT62" s="48">
        <f t="shared" ca="1" si="19"/>
        <v>271045.62310341728</v>
      </c>
      <c r="AU62" s="48">
        <f t="shared" ca="1" si="19"/>
        <v>234004.01590468321</v>
      </c>
      <c r="AV62" s="48">
        <f t="shared" ca="1" si="19"/>
        <v>183962.87629712321</v>
      </c>
      <c r="AW62" s="48">
        <f t="shared" ca="1" si="19"/>
        <v>161182.87256589334</v>
      </c>
      <c r="AX62" s="48">
        <f t="shared" ca="1" si="19"/>
        <v>141635.87132627689</v>
      </c>
      <c r="AY62" s="48">
        <f t="shared" ca="1" si="19"/>
        <v>123861.8069369</v>
      </c>
      <c r="AZ62" s="48">
        <f t="shared" ca="1" si="19"/>
        <v>110006.08197284263</v>
      </c>
      <c r="BA62" s="48">
        <f t="shared" ca="1" si="19"/>
        <v>95554.411849040815</v>
      </c>
      <c r="BB62" s="48">
        <f t="shared" ca="1" si="19"/>
        <v>86600.335823881134</v>
      </c>
      <c r="BC62" s="48">
        <f t="shared" ca="1" si="19"/>
        <v>79404.298019967449</v>
      </c>
      <c r="BD62" s="48">
        <f t="shared" ca="1" si="19"/>
        <v>73280.961503593688</v>
      </c>
      <c r="BE62" s="48">
        <f t="shared" ca="1" si="19"/>
        <v>64222.595075478748</v>
      </c>
      <c r="BF62" s="48">
        <f t="shared" ca="1" si="19"/>
        <v>58531.318799919682</v>
      </c>
      <c r="BG62" s="48">
        <f t="shared" ca="1" si="19"/>
        <v>54478.891713657729</v>
      </c>
      <c r="BH62" s="48">
        <f t="shared" ca="1" si="19"/>
        <v>34172.060395367145</v>
      </c>
      <c r="BI62" s="48">
        <f t="shared" ca="1" si="19"/>
        <v>54.2</v>
      </c>
      <c r="BJ62" s="48">
        <f t="shared" ca="1" si="19"/>
        <v>54.2</v>
      </c>
      <c r="BK62" s="48">
        <f t="shared" ca="1" si="19"/>
        <v>54.2</v>
      </c>
      <c r="BL62" s="48">
        <f t="shared" ca="1" si="19"/>
        <v>54.2</v>
      </c>
      <c r="BM62" s="48">
        <f t="shared" ca="1" si="19"/>
        <v>54.2</v>
      </c>
      <c r="BN62" s="48">
        <f t="shared" ca="1" si="19"/>
        <v>54.2</v>
      </c>
      <c r="BO62" s="48">
        <f t="shared" ca="1" si="19"/>
        <v>54.2</v>
      </c>
      <c r="BP62" s="48">
        <f t="shared" ca="1" si="19"/>
        <v>54.2</v>
      </c>
      <c r="BQ62" s="48">
        <f t="shared" ca="1" si="19"/>
        <v>54.2</v>
      </c>
      <c r="BR62" s="48">
        <f t="shared" ca="1" si="19"/>
        <v>54.2</v>
      </c>
      <c r="BS62" s="48">
        <f t="shared" ca="1" si="19"/>
        <v>54.2</v>
      </c>
      <c r="BT62" s="48">
        <f t="shared" ca="1" si="19"/>
        <v>54.2</v>
      </c>
      <c r="BU62" s="48">
        <f t="shared" ca="1" si="19"/>
        <v>54.2</v>
      </c>
      <c r="BV62" s="48">
        <f t="shared" ca="1" si="19"/>
        <v>54.2</v>
      </c>
      <c r="BW62" s="48">
        <f t="shared" ca="1" si="19"/>
        <v>54.2</v>
      </c>
    </row>
    <row r="63" spans="1:75" x14ac:dyDescent="0.3">
      <c r="A63" s="21" t="s">
        <v>1167</v>
      </c>
      <c r="AG63" s="51">
        <f ca="1">AG53*AF57</f>
        <v>864299.36547964776</v>
      </c>
      <c r="AH63" s="51">
        <f t="shared" ref="AH63:BW63" ca="1" si="20">AH53*AG57</f>
        <v>923949.40286487108</v>
      </c>
      <c r="AI63" s="51">
        <f t="shared" ca="1" si="20"/>
        <v>979516.10667788703</v>
      </c>
      <c r="AJ63" s="51">
        <f t="shared" ca="1" si="20"/>
        <v>970470.77776944533</v>
      </c>
      <c r="AK63" s="51">
        <f t="shared" ca="1" si="20"/>
        <v>986899.72913497</v>
      </c>
      <c r="AL63" s="51">
        <f t="shared" ca="1" si="20"/>
        <v>891275.69728333293</v>
      </c>
      <c r="AM63" s="51">
        <f t="shared" ca="1" si="20"/>
        <v>748991.07550777856</v>
      </c>
      <c r="AN63" s="51">
        <f t="shared" ca="1" si="20"/>
        <v>641849.35403590591</v>
      </c>
      <c r="AO63" s="51">
        <f t="shared" ca="1" si="20"/>
        <v>557160.59409214102</v>
      </c>
      <c r="AP63" s="51">
        <f t="shared" ca="1" si="20"/>
        <v>488174.66571919224</v>
      </c>
      <c r="AQ63" s="51">
        <f t="shared" ca="1" si="20"/>
        <v>422387.53475969535</v>
      </c>
      <c r="AR63" s="51">
        <f t="shared" ca="1" si="20"/>
        <v>360063.20155590284</v>
      </c>
      <c r="AS63" s="51">
        <f t="shared" ca="1" si="20"/>
        <v>308438.47383118578</v>
      </c>
      <c r="AT63" s="51">
        <f t="shared" ca="1" si="20"/>
        <v>270991.42310341727</v>
      </c>
      <c r="AU63" s="51">
        <f t="shared" ca="1" si="20"/>
        <v>233949.8159046832</v>
      </c>
      <c r="AV63" s="51">
        <f t="shared" ca="1" si="20"/>
        <v>183908.67629712319</v>
      </c>
      <c r="AW63" s="51">
        <f t="shared" ca="1" si="20"/>
        <v>161128.67256589333</v>
      </c>
      <c r="AX63" s="51">
        <f t="shared" ca="1" si="20"/>
        <v>141581.67132627688</v>
      </c>
      <c r="AY63" s="51">
        <f t="shared" ca="1" si="20"/>
        <v>123807.6069369</v>
      </c>
      <c r="AZ63" s="51">
        <f t="shared" ca="1" si="20"/>
        <v>109951.88197284263</v>
      </c>
      <c r="BA63" s="51">
        <f t="shared" ca="1" si="20"/>
        <v>95500.211849040817</v>
      </c>
      <c r="BB63" s="51">
        <f t="shared" ca="1" si="20"/>
        <v>86546.135823881137</v>
      </c>
      <c r="BC63" s="51">
        <f t="shared" ca="1" si="20"/>
        <v>79350.098019967452</v>
      </c>
      <c r="BD63" s="51">
        <f t="shared" ca="1" si="20"/>
        <v>73226.761503593691</v>
      </c>
      <c r="BE63" s="51">
        <f t="shared" ca="1" si="20"/>
        <v>64168.395075478751</v>
      </c>
      <c r="BF63" s="51">
        <f t="shared" ca="1" si="20"/>
        <v>58477.118799919685</v>
      </c>
      <c r="BG63" s="51">
        <f t="shared" ca="1" si="20"/>
        <v>54424.691713657732</v>
      </c>
      <c r="BH63" s="51">
        <f t="shared" ca="1" si="20"/>
        <v>34117.860395367148</v>
      </c>
      <c r="BI63" s="51">
        <f t="shared" ca="1" si="20"/>
        <v>0</v>
      </c>
      <c r="BJ63" s="51">
        <f t="shared" ca="1" si="20"/>
        <v>0</v>
      </c>
      <c r="BK63" s="51">
        <f t="shared" ca="1" si="20"/>
        <v>0</v>
      </c>
      <c r="BL63" s="51">
        <f t="shared" ca="1" si="20"/>
        <v>0</v>
      </c>
      <c r="BM63" s="51">
        <f t="shared" ca="1" si="20"/>
        <v>0</v>
      </c>
      <c r="BN63" s="51">
        <f t="shared" ca="1" si="20"/>
        <v>0</v>
      </c>
      <c r="BO63" s="51">
        <f t="shared" ca="1" si="20"/>
        <v>0</v>
      </c>
      <c r="BP63" s="51">
        <f t="shared" ca="1" si="20"/>
        <v>0</v>
      </c>
      <c r="BQ63" s="51">
        <f t="shared" ca="1" si="20"/>
        <v>0</v>
      </c>
      <c r="BR63" s="51">
        <f t="shared" ca="1" si="20"/>
        <v>0</v>
      </c>
      <c r="BS63" s="51">
        <f t="shared" ca="1" si="20"/>
        <v>0</v>
      </c>
      <c r="BT63" s="51">
        <f t="shared" ca="1" si="20"/>
        <v>0</v>
      </c>
      <c r="BU63" s="51">
        <f t="shared" ca="1" si="20"/>
        <v>0</v>
      </c>
      <c r="BV63" s="51">
        <f t="shared" ca="1" si="20"/>
        <v>0</v>
      </c>
      <c r="BW63" s="51">
        <f t="shared" ca="1" si="20"/>
        <v>0</v>
      </c>
    </row>
    <row r="64" spans="1:75" x14ac:dyDescent="0.3">
      <c r="A64" s="21" t="s">
        <v>1168</v>
      </c>
      <c r="AG64" s="51">
        <f>AG54*AF58</f>
        <v>54.2</v>
      </c>
      <c r="AH64" s="51">
        <f t="shared" ref="AH64:BW64" si="21">AH54*AG58</f>
        <v>54.2</v>
      </c>
      <c r="AI64" s="51">
        <f t="shared" si="21"/>
        <v>54.2</v>
      </c>
      <c r="AJ64" s="51">
        <f t="shared" si="21"/>
        <v>54.2</v>
      </c>
      <c r="AK64" s="51">
        <f t="shared" si="21"/>
        <v>54.2</v>
      </c>
      <c r="AL64" s="51">
        <f t="shared" si="21"/>
        <v>54.2</v>
      </c>
      <c r="AM64" s="51">
        <f t="shared" si="21"/>
        <v>54.2</v>
      </c>
      <c r="AN64" s="51">
        <f t="shared" si="21"/>
        <v>54.2</v>
      </c>
      <c r="AO64" s="51">
        <f t="shared" si="21"/>
        <v>54.2</v>
      </c>
      <c r="AP64" s="51">
        <f t="shared" si="21"/>
        <v>54.2</v>
      </c>
      <c r="AQ64" s="51">
        <f t="shared" si="21"/>
        <v>54.2</v>
      </c>
      <c r="AR64" s="51">
        <f t="shared" si="21"/>
        <v>54.2</v>
      </c>
      <c r="AS64" s="51">
        <f t="shared" si="21"/>
        <v>54.2</v>
      </c>
      <c r="AT64" s="51">
        <f t="shared" si="21"/>
        <v>54.2</v>
      </c>
      <c r="AU64" s="51">
        <f t="shared" si="21"/>
        <v>54.2</v>
      </c>
      <c r="AV64" s="51">
        <f t="shared" si="21"/>
        <v>54.2</v>
      </c>
      <c r="AW64" s="51">
        <f t="shared" si="21"/>
        <v>54.2</v>
      </c>
      <c r="AX64" s="51">
        <f t="shared" si="21"/>
        <v>54.2</v>
      </c>
      <c r="AY64" s="51">
        <f t="shared" si="21"/>
        <v>54.2</v>
      </c>
      <c r="AZ64" s="51">
        <f t="shared" si="21"/>
        <v>54.2</v>
      </c>
      <c r="BA64" s="51">
        <f t="shared" si="21"/>
        <v>54.2</v>
      </c>
      <c r="BB64" s="51">
        <f t="shared" si="21"/>
        <v>54.2</v>
      </c>
      <c r="BC64" s="51">
        <f t="shared" si="21"/>
        <v>54.2</v>
      </c>
      <c r="BD64" s="51">
        <f t="shared" si="21"/>
        <v>54.2</v>
      </c>
      <c r="BE64" s="51">
        <f t="shared" si="21"/>
        <v>54.2</v>
      </c>
      <c r="BF64" s="51">
        <f t="shared" si="21"/>
        <v>54.2</v>
      </c>
      <c r="BG64" s="51">
        <f t="shared" si="21"/>
        <v>54.2</v>
      </c>
      <c r="BH64" s="51">
        <f t="shared" si="21"/>
        <v>54.2</v>
      </c>
      <c r="BI64" s="51">
        <f t="shared" si="21"/>
        <v>54.2</v>
      </c>
      <c r="BJ64" s="51">
        <f t="shared" si="21"/>
        <v>54.2</v>
      </c>
      <c r="BK64" s="51">
        <f t="shared" si="21"/>
        <v>54.2</v>
      </c>
      <c r="BL64" s="51">
        <f t="shared" si="21"/>
        <v>54.2</v>
      </c>
      <c r="BM64" s="51">
        <f t="shared" si="21"/>
        <v>54.2</v>
      </c>
      <c r="BN64" s="51">
        <f t="shared" si="21"/>
        <v>54.2</v>
      </c>
      <c r="BO64" s="51">
        <f t="shared" si="21"/>
        <v>54.2</v>
      </c>
      <c r="BP64" s="51">
        <f t="shared" si="21"/>
        <v>54.2</v>
      </c>
      <c r="BQ64" s="51">
        <f t="shared" si="21"/>
        <v>54.2</v>
      </c>
      <c r="BR64" s="51">
        <f t="shared" si="21"/>
        <v>54.2</v>
      </c>
      <c r="BS64" s="51">
        <f t="shared" si="21"/>
        <v>54.2</v>
      </c>
      <c r="BT64" s="51">
        <f t="shared" si="21"/>
        <v>54.2</v>
      </c>
      <c r="BU64" s="51">
        <f t="shared" si="21"/>
        <v>54.2</v>
      </c>
      <c r="BV64" s="51">
        <f t="shared" si="21"/>
        <v>54.2</v>
      </c>
      <c r="BW64" s="51">
        <f t="shared" si="21"/>
        <v>54.2</v>
      </c>
    </row>
    <row r="66" spans="1:32" x14ac:dyDescent="0.3">
      <c r="A66" s="4" t="s">
        <v>1170</v>
      </c>
      <c r="B66" s="4" t="s">
        <v>1156</v>
      </c>
      <c r="AF66" s="51">
        <f>SUM(AF67:AF75)</f>
        <v>10914878</v>
      </c>
    </row>
    <row r="67" spans="1:32" x14ac:dyDescent="0.3">
      <c r="A67" s="5" t="s">
        <v>1142</v>
      </c>
      <c r="B67" s="268" t="s">
        <v>1157</v>
      </c>
      <c r="AF67" s="55">
        <v>331804</v>
      </c>
    </row>
    <row r="68" spans="1:32" x14ac:dyDescent="0.3">
      <c r="A68" s="5" t="s">
        <v>1171</v>
      </c>
      <c r="B68" s="268" t="s">
        <v>1157</v>
      </c>
      <c r="AF68" s="55">
        <v>8158835</v>
      </c>
    </row>
    <row r="69" spans="1:32" x14ac:dyDescent="0.3">
      <c r="A69" s="5" t="s">
        <v>1143</v>
      </c>
      <c r="B69" s="268" t="s">
        <v>1157</v>
      </c>
      <c r="AF69" s="55">
        <v>336811</v>
      </c>
    </row>
    <row r="70" spans="1:32" x14ac:dyDescent="0.3">
      <c r="A70" s="5" t="s">
        <v>1172</v>
      </c>
      <c r="B70" s="268" t="s">
        <v>1157</v>
      </c>
      <c r="AF70" s="55">
        <v>733749</v>
      </c>
    </row>
    <row r="71" spans="1:32" x14ac:dyDescent="0.3">
      <c r="A71" s="5" t="s">
        <v>1173</v>
      </c>
      <c r="B71" s="268" t="s">
        <v>1157</v>
      </c>
      <c r="AF71" s="55">
        <v>379</v>
      </c>
    </row>
    <row r="72" spans="1:32" x14ac:dyDescent="0.3">
      <c r="A72" s="5" t="s">
        <v>1174</v>
      </c>
      <c r="B72" s="268" t="s">
        <v>1157</v>
      </c>
      <c r="AF72" s="55">
        <v>6075</v>
      </c>
    </row>
    <row r="73" spans="1:32" x14ac:dyDescent="0.3">
      <c r="A73" s="5" t="s">
        <v>1175</v>
      </c>
      <c r="B73" s="268" t="s">
        <v>1157</v>
      </c>
      <c r="AF73" s="55">
        <v>8165</v>
      </c>
    </row>
    <row r="74" spans="1:32" x14ac:dyDescent="0.3">
      <c r="A74" s="5" t="s">
        <v>1176</v>
      </c>
      <c r="B74" s="268">
        <v>20</v>
      </c>
      <c r="AF74" s="55">
        <v>271</v>
      </c>
    </row>
    <row r="75" spans="1:32" x14ac:dyDescent="0.3">
      <c r="A75" s="5" t="s">
        <v>1177</v>
      </c>
      <c r="B75" s="268" t="s">
        <v>1157</v>
      </c>
      <c r="AF75" s="55">
        <v>1338789</v>
      </c>
    </row>
  </sheetData>
  <phoneticPr fontId="19" type="noConversion"/>
  <pageMargins left="0.511811024" right="0.511811024" top="0.78740157499999996" bottom="0.78740157499999996" header="0.31496062000000002" footer="0.31496062000000002"/>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2B42-4A56-49B4-80D5-0D23B2E605E4}">
  <dimension ref="A1:W1"/>
  <sheetViews>
    <sheetView workbookViewId="0"/>
  </sheetViews>
  <sheetFormatPr defaultRowHeight="14.4" x14ac:dyDescent="0.3"/>
  <sheetData>
    <row r="1" spans="1:23" x14ac:dyDescent="0.3">
      <c r="A1">
        <v>23</v>
      </c>
      <c r="B1" t="s">
        <v>754</v>
      </c>
      <c r="C1" t="s">
        <v>755</v>
      </c>
      <c r="D1" t="s">
        <v>756</v>
      </c>
      <c r="E1" t="s">
        <v>757</v>
      </c>
      <c r="F1" t="s">
        <v>758</v>
      </c>
      <c r="G1" t="s">
        <v>759</v>
      </c>
      <c r="H1" t="s">
        <v>760</v>
      </c>
      <c r="I1" t="s">
        <v>761</v>
      </c>
      <c r="J1" t="s">
        <v>762</v>
      </c>
      <c r="K1" t="s">
        <v>763</v>
      </c>
      <c r="L1" t="s">
        <v>764</v>
      </c>
      <c r="M1" t="s">
        <v>765</v>
      </c>
      <c r="N1" t="s">
        <v>766</v>
      </c>
      <c r="O1" t="s">
        <v>767</v>
      </c>
      <c r="P1" t="s">
        <v>768</v>
      </c>
      <c r="Q1" t="s">
        <v>769</v>
      </c>
      <c r="R1" t="s">
        <v>770</v>
      </c>
      <c r="S1" t="s">
        <v>771</v>
      </c>
      <c r="T1" t="s">
        <v>772</v>
      </c>
      <c r="U1" t="s">
        <v>773</v>
      </c>
      <c r="V1" t="s">
        <v>774</v>
      </c>
      <c r="W1" t="s">
        <v>775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6654A-78ED-461C-A848-C0676E4A0FF2}">
  <sheetPr>
    <tabColor theme="8" tint="0.79998168889431442"/>
  </sheetPr>
  <dimension ref="A1:BX48"/>
  <sheetViews>
    <sheetView showGridLines="0" zoomScale="115" zoomScaleNormal="115" workbookViewId="0">
      <pane xSplit="2" ySplit="1" topLeftCell="BE14" activePane="bottomRight" state="frozen"/>
      <selection pane="topRight" activeCell="C1" sqref="C1"/>
      <selection pane="bottomLeft" activeCell="A2" sqref="A2"/>
      <selection pane="bottomRight" activeCell="AJ31" sqref="AJ31:BW31"/>
    </sheetView>
  </sheetViews>
  <sheetFormatPr defaultRowHeight="14.4" x14ac:dyDescent="0.3"/>
  <cols>
    <col min="1" max="1" width="47.88671875" style="2" bestFit="1" customWidth="1"/>
    <col min="2" max="2" width="5.109375" style="2" customWidth="1"/>
    <col min="3" max="6" width="15.77734375" style="2" customWidth="1"/>
    <col min="7" max="7" width="9.88671875" bestFit="1" customWidth="1"/>
    <col min="8" max="11" width="9.88671875" customWidth="1"/>
    <col min="12" max="12" width="9.88671875" bestFit="1" customWidth="1"/>
    <col min="13" max="16" width="9.88671875" customWidth="1"/>
    <col min="28" max="28" width="9.88671875" bestFit="1" customWidth="1"/>
    <col min="29" max="31" width="9.88671875" customWidth="1"/>
    <col min="32" max="32" width="10.77734375" bestFit="1" customWidth="1"/>
    <col min="33" max="39" width="9.109375" bestFit="1" customWidth="1"/>
  </cols>
  <sheetData>
    <row r="1" spans="1:75" x14ac:dyDescent="0.3">
      <c r="A1"/>
      <c r="B1" s="3"/>
      <c r="C1" s="3" t="str">
        <f>'Fluxo de Caixa dos Acionistas'!C1</f>
        <v>1T18</v>
      </c>
      <c r="D1" s="3" t="str">
        <f>'Fluxo de Caixa dos Acionistas'!D1</f>
        <v>2T18</v>
      </c>
      <c r="E1" s="3" t="str">
        <f>'Fluxo de Caixa dos Acionistas'!E1</f>
        <v>3T18</v>
      </c>
      <c r="F1" s="3" t="str">
        <f>'Fluxo de Caixa dos Acionistas'!F1</f>
        <v>4T18</v>
      </c>
      <c r="G1" s="3">
        <f>'Fluxo de Caixa dos Acionistas'!G1</f>
        <v>2018</v>
      </c>
      <c r="H1" s="3" t="str">
        <f>'Fluxo de Caixa dos Acionistas'!H1</f>
        <v>1T19</v>
      </c>
      <c r="I1" s="3" t="str">
        <f>'Fluxo de Caixa dos Acionistas'!I1</f>
        <v>2T19</v>
      </c>
      <c r="J1" s="3" t="str">
        <f>'Fluxo de Caixa dos Acionistas'!J1</f>
        <v>3T19</v>
      </c>
      <c r="K1" s="3" t="str">
        <f>'Fluxo de Caixa dos Acionistas'!K1</f>
        <v>4T19</v>
      </c>
      <c r="L1" s="3">
        <f>'Fluxo de Caixa dos Acionistas'!L1</f>
        <v>2019</v>
      </c>
      <c r="M1" s="3" t="str">
        <f>'Fluxo de Caixa dos Acionistas'!M1</f>
        <v>1T20</v>
      </c>
      <c r="N1" s="3" t="str">
        <f>'Fluxo de Caixa dos Acionistas'!N1</f>
        <v>2T20</v>
      </c>
      <c r="O1" s="3" t="str">
        <f>'Fluxo de Caixa dos Acionistas'!O1</f>
        <v>3T20</v>
      </c>
      <c r="P1" s="3" t="str">
        <f>'Fluxo de Caixa dos Acionistas'!P1</f>
        <v>4T20</v>
      </c>
      <c r="Q1" s="3">
        <f>'Fluxo de Caixa dos Acionistas'!Q1</f>
        <v>2020</v>
      </c>
      <c r="R1" s="3" t="str">
        <f>'Fluxo de Caixa dos Acionistas'!R1</f>
        <v>1T21</v>
      </c>
      <c r="S1" s="3" t="str">
        <f>'Fluxo de Caixa dos Acionistas'!S1</f>
        <v>2T21</v>
      </c>
      <c r="T1" s="3" t="str">
        <f>'Fluxo de Caixa dos Acionistas'!T1</f>
        <v>3T21</v>
      </c>
      <c r="U1" s="3" t="str">
        <f>'Fluxo de Caixa dos Acionistas'!U1</f>
        <v>4T21</v>
      </c>
      <c r="V1" s="3">
        <f>'Fluxo de Caixa dos Acionistas'!V1</f>
        <v>2021</v>
      </c>
      <c r="W1" s="3" t="str">
        <f>'Fluxo de Caixa dos Acionistas'!W1</f>
        <v>1T22</v>
      </c>
      <c r="X1" s="3" t="str">
        <f>'Fluxo de Caixa dos Acionistas'!X1</f>
        <v>2T22</v>
      </c>
      <c r="Y1" s="3" t="str">
        <f>'Fluxo de Caixa dos Acionistas'!Y1</f>
        <v>3T22</v>
      </c>
      <c r="Z1" s="3" t="str">
        <f>'Fluxo de Caixa dos Acionistas'!Z1</f>
        <v>4T22</v>
      </c>
      <c r="AA1" s="3">
        <f>'Fluxo de Caixa dos Acionistas'!AA1</f>
        <v>2022</v>
      </c>
      <c r="AB1" s="3" t="str">
        <f>'Fluxo de Caixa dos Acionistas'!AB1</f>
        <v>1T23</v>
      </c>
      <c r="AC1" s="3" t="str">
        <f>'Fluxo de Caixa dos Acionistas'!AC1</f>
        <v>2T23</v>
      </c>
      <c r="AD1" s="3" t="str">
        <f>'Fluxo de Caixa dos Acionistas'!AD1</f>
        <v>3T23</v>
      </c>
      <c r="AE1" s="3" t="str">
        <f>'Fluxo de Caixa dos Acionistas'!AE1</f>
        <v>4T23</v>
      </c>
      <c r="AF1" s="3">
        <v>2023</v>
      </c>
      <c r="AG1" s="3">
        <f>AF1+1</f>
        <v>2024</v>
      </c>
      <c r="AH1" s="3">
        <f t="shared" ref="AH1:BL1" si="0">AG1+1</f>
        <v>2025</v>
      </c>
      <c r="AI1" s="3">
        <f t="shared" si="0"/>
        <v>2026</v>
      </c>
      <c r="AJ1" s="3">
        <f t="shared" si="0"/>
        <v>2027</v>
      </c>
      <c r="AK1" s="3">
        <f t="shared" si="0"/>
        <v>2028</v>
      </c>
      <c r="AL1" s="3">
        <f t="shared" si="0"/>
        <v>2029</v>
      </c>
      <c r="AM1" s="3">
        <f t="shared" si="0"/>
        <v>2030</v>
      </c>
      <c r="AN1" s="3">
        <f t="shared" si="0"/>
        <v>2031</v>
      </c>
      <c r="AO1" s="3">
        <f t="shared" si="0"/>
        <v>2032</v>
      </c>
      <c r="AP1" s="3">
        <f t="shared" si="0"/>
        <v>2033</v>
      </c>
      <c r="AQ1" s="3">
        <f t="shared" si="0"/>
        <v>2034</v>
      </c>
      <c r="AR1" s="3">
        <f t="shared" si="0"/>
        <v>2035</v>
      </c>
      <c r="AS1" s="3">
        <f t="shared" si="0"/>
        <v>2036</v>
      </c>
      <c r="AT1" s="3">
        <f t="shared" si="0"/>
        <v>2037</v>
      </c>
      <c r="AU1" s="3">
        <f t="shared" si="0"/>
        <v>2038</v>
      </c>
      <c r="AV1" s="3">
        <f t="shared" si="0"/>
        <v>2039</v>
      </c>
      <c r="AW1" s="3">
        <f t="shared" si="0"/>
        <v>2040</v>
      </c>
      <c r="AX1" s="3">
        <f t="shared" si="0"/>
        <v>2041</v>
      </c>
      <c r="AY1" s="3">
        <f t="shared" si="0"/>
        <v>2042</v>
      </c>
      <c r="AZ1" s="3">
        <f t="shared" si="0"/>
        <v>2043</v>
      </c>
      <c r="BA1" s="3">
        <f t="shared" si="0"/>
        <v>2044</v>
      </c>
      <c r="BB1" s="3">
        <f t="shared" si="0"/>
        <v>2045</v>
      </c>
      <c r="BC1" s="3">
        <f t="shared" si="0"/>
        <v>2046</v>
      </c>
      <c r="BD1" s="3">
        <f t="shared" si="0"/>
        <v>2047</v>
      </c>
      <c r="BE1" s="3">
        <f t="shared" si="0"/>
        <v>2048</v>
      </c>
      <c r="BF1" s="3">
        <f t="shared" si="0"/>
        <v>2049</v>
      </c>
      <c r="BG1" s="3">
        <f t="shared" si="0"/>
        <v>2050</v>
      </c>
      <c r="BH1" s="3">
        <f t="shared" si="0"/>
        <v>2051</v>
      </c>
      <c r="BI1" s="3">
        <f t="shared" si="0"/>
        <v>2052</v>
      </c>
      <c r="BJ1" s="3">
        <f t="shared" si="0"/>
        <v>2053</v>
      </c>
      <c r="BK1" s="3">
        <f t="shared" si="0"/>
        <v>2054</v>
      </c>
      <c r="BL1" s="3">
        <f t="shared" si="0"/>
        <v>2055</v>
      </c>
      <c r="BM1" s="3">
        <f t="shared" ref="BM1:BW1" si="1">BL1+1</f>
        <v>2056</v>
      </c>
      <c r="BN1" s="3">
        <f t="shared" si="1"/>
        <v>2057</v>
      </c>
      <c r="BO1" s="3">
        <f t="shared" si="1"/>
        <v>2058</v>
      </c>
      <c r="BP1" s="3">
        <f t="shared" si="1"/>
        <v>2059</v>
      </c>
      <c r="BQ1" s="3">
        <f t="shared" si="1"/>
        <v>2060</v>
      </c>
      <c r="BR1" s="3">
        <f t="shared" si="1"/>
        <v>2061</v>
      </c>
      <c r="BS1" s="3">
        <f t="shared" si="1"/>
        <v>2062</v>
      </c>
      <c r="BT1" s="3">
        <f t="shared" si="1"/>
        <v>2063</v>
      </c>
      <c r="BU1" s="3">
        <f t="shared" si="1"/>
        <v>2064</v>
      </c>
      <c r="BV1" s="3">
        <f t="shared" si="1"/>
        <v>2065</v>
      </c>
      <c r="BW1" s="3">
        <f t="shared" si="1"/>
        <v>2066</v>
      </c>
    </row>
    <row r="3" spans="1:75" s="278" customFormat="1" ht="13.8" x14ac:dyDescent="0.3">
      <c r="A3" s="278" t="s">
        <v>1195</v>
      </c>
    </row>
    <row r="4" spans="1:75" x14ac:dyDescent="0.3">
      <c r="A4"/>
      <c r="B4"/>
      <c r="C4"/>
      <c r="D4"/>
      <c r="E4"/>
      <c r="F4"/>
    </row>
    <row r="5" spans="1:75" x14ac:dyDescent="0.3">
      <c r="A5" s="2" t="s">
        <v>3</v>
      </c>
      <c r="B5"/>
      <c r="C5"/>
      <c r="D5"/>
      <c r="E5"/>
      <c r="F5"/>
      <c r="AG5" s="74">
        <f>'Avaliação e Simulações'!E22</f>
        <v>3.8805953788752845E-2</v>
      </c>
      <c r="AH5" s="74">
        <f>'Avaliação e Simulações'!F22</f>
        <v>3.6704793936478186E-2</v>
      </c>
      <c r="AI5" s="74">
        <f>'Avaliação e Simulações'!G22</f>
        <v>3.5180948775491494E-2</v>
      </c>
      <c r="AJ5" s="74">
        <f>'Avaliação e Simulações'!H22</f>
        <v>3.499999999999992E-2</v>
      </c>
      <c r="AK5" s="74">
        <f>'Avaliação e Simulações'!I22</f>
        <v>3.2457002457002337E-2</v>
      </c>
      <c r="AL5" s="74">
        <f>'Avaliação e Simulações'!J22</f>
        <v>3.0000000000000249E-2</v>
      </c>
      <c r="AM5" s="74">
        <f>'Avaliação e Simulações'!K22</f>
        <v>3.0000000000000249E-2</v>
      </c>
      <c r="AN5" s="74">
        <f>'Avaliação e Simulações'!L22</f>
        <v>3.0000000000000249E-2</v>
      </c>
      <c r="AO5" s="74">
        <f>'Avaliação e Simulações'!M22</f>
        <v>3.0000000000000249E-2</v>
      </c>
      <c r="AP5" s="74">
        <f>'Avaliação e Simulações'!N22</f>
        <v>3.0000000000000249E-2</v>
      </c>
      <c r="AQ5" s="74">
        <f>'Avaliação e Simulações'!O22</f>
        <v>3.0000000000000249E-2</v>
      </c>
      <c r="AR5" s="74">
        <f>'Avaliação e Simulações'!P22</f>
        <v>3.0000000000000249E-2</v>
      </c>
      <c r="AS5" s="74">
        <f>'Avaliação e Simulações'!Q22</f>
        <v>3.0000000000000249E-2</v>
      </c>
      <c r="AT5" s="74">
        <f>'Avaliação e Simulações'!R22</f>
        <v>3.0000000000000249E-2</v>
      </c>
      <c r="AU5" s="74">
        <f>'Avaliação e Simulações'!S22</f>
        <v>3.0000000000000249E-2</v>
      </c>
      <c r="AV5" s="74">
        <f>'Avaliação e Simulações'!T22</f>
        <v>3.0000000000000249E-2</v>
      </c>
      <c r="AW5" s="74">
        <f>'Avaliação e Simulações'!U22</f>
        <v>3.0000000000000249E-2</v>
      </c>
      <c r="AX5" s="74">
        <f>'Avaliação e Simulações'!V22</f>
        <v>3.0000000000000249E-2</v>
      </c>
      <c r="AY5" s="74">
        <f>'Avaliação e Simulações'!W22</f>
        <v>3.0000000000000249E-2</v>
      </c>
      <c r="AZ5" s="74">
        <f>'Avaliação e Simulações'!X22</f>
        <v>3.0000000000000249E-2</v>
      </c>
      <c r="BA5" s="74">
        <f>'Avaliação e Simulações'!Y22</f>
        <v>3.0000000000000249E-2</v>
      </c>
      <c r="BB5" s="74">
        <f>'Avaliação e Simulações'!Z22</f>
        <v>3.0000000000000249E-2</v>
      </c>
      <c r="BC5" s="74">
        <f>'Avaliação e Simulações'!AA22</f>
        <v>3.0000000000000249E-2</v>
      </c>
      <c r="BD5" s="74">
        <f>'Avaliação e Simulações'!AB22</f>
        <v>3.0000000000000249E-2</v>
      </c>
      <c r="BE5" s="74">
        <f>'Avaliação e Simulações'!AC22</f>
        <v>3.0000000000000249E-2</v>
      </c>
      <c r="BF5" s="74">
        <f>'Avaliação e Simulações'!AD22</f>
        <v>3.0000000000000249E-2</v>
      </c>
      <c r="BG5" s="74">
        <f>'Avaliação e Simulações'!AE22</f>
        <v>3.0000000000000249E-2</v>
      </c>
      <c r="BH5" s="74">
        <f>'Avaliação e Simulações'!AF22</f>
        <v>3.0000000000000249E-2</v>
      </c>
      <c r="BI5" s="74">
        <f>'Avaliação e Simulações'!AG22</f>
        <v>3.0000000000000249E-2</v>
      </c>
      <c r="BJ5" s="74">
        <f>'Avaliação e Simulações'!AH22</f>
        <v>3.0000000000000249E-2</v>
      </c>
      <c r="BK5" s="74">
        <f>'Avaliação e Simulações'!AI22</f>
        <v>3.0000000000000249E-2</v>
      </c>
      <c r="BL5" s="74">
        <f>'Avaliação e Simulações'!AJ22</f>
        <v>3.0000000000000249E-2</v>
      </c>
      <c r="BM5" s="74">
        <f>'Avaliação e Simulações'!AK22</f>
        <v>3.0000000000000249E-2</v>
      </c>
      <c r="BN5" s="74">
        <f>'Avaliação e Simulações'!AL22</f>
        <v>3.0000000000000249E-2</v>
      </c>
      <c r="BO5" s="74">
        <f>'Avaliação e Simulações'!AM22</f>
        <v>3.0000000000000249E-2</v>
      </c>
      <c r="BP5" s="74">
        <f>'Avaliação e Simulações'!AN22</f>
        <v>3.0000000000000249E-2</v>
      </c>
      <c r="BQ5" s="74">
        <f>'Avaliação e Simulações'!AO22</f>
        <v>3.0000000000000249E-2</v>
      </c>
      <c r="BR5" s="74">
        <f>'Avaliação e Simulações'!AP22</f>
        <v>3.0000000000000249E-2</v>
      </c>
      <c r="BS5" s="74">
        <f>'Avaliação e Simulações'!AQ22</f>
        <v>3.0000000000000249E-2</v>
      </c>
      <c r="BT5" s="74">
        <f>'Avaliação e Simulações'!AR22</f>
        <v>3.0000000000000249E-2</v>
      </c>
      <c r="BU5" s="74">
        <f>'Avaliação e Simulações'!AS22</f>
        <v>3.0000000000000249E-2</v>
      </c>
      <c r="BV5" s="74">
        <f>'Avaliação e Simulações'!AT22</f>
        <v>3.0000000000000249E-2</v>
      </c>
      <c r="BW5" s="74">
        <f>'Avaliação e Simulações'!AU22</f>
        <v>3.0000000000000249E-2</v>
      </c>
    </row>
    <row r="6" spans="1:75" x14ac:dyDescent="0.3">
      <c r="A6" s="2" t="s">
        <v>706</v>
      </c>
      <c r="B6"/>
      <c r="C6"/>
      <c r="D6"/>
      <c r="E6"/>
      <c r="F6"/>
      <c r="AB6" s="79">
        <v>4.8750000000000002E-2</v>
      </c>
      <c r="AC6" s="79">
        <v>5.1209935709998655E-2</v>
      </c>
      <c r="AD6" s="79">
        <v>5.4786782448902102E-2</v>
      </c>
      <c r="AE6" s="79">
        <v>5.62E-2</v>
      </c>
      <c r="AF6" s="79">
        <v>5.2322226997869599E-2</v>
      </c>
      <c r="AG6" s="74">
        <f>SUMIFS('Drivers Macroeconômico'!$AT:$AT,'Drivers Macroeconômico'!$AW:$AW,AG1)</f>
        <v>5.04E-2</v>
      </c>
      <c r="AH6" s="74">
        <f>SUMIFS('Drivers Macroeconômico'!$AT:$AT,'Drivers Macroeconômico'!$AW:$AW,AH1)</f>
        <v>4.3212338156892516E-2</v>
      </c>
      <c r="AI6" s="74">
        <f>SUMIFS('Drivers Macroeconômico'!$AT:$AT,'Drivers Macroeconômico'!$AW:$AW,AI1)</f>
        <v>4.0213861127290196E-2</v>
      </c>
      <c r="AJ6" s="74">
        <f>SUMIFS('Drivers Macroeconômico'!$AT:$AT,'Drivers Macroeconômico'!$AW:$AW,AJ1)</f>
        <v>4.0355185985008202E-2</v>
      </c>
      <c r="AK6" s="74">
        <f>SUMIFS('Drivers Macroeconômico'!$AT:$AT,'Drivers Macroeconômico'!$AW:$AW,AK1)</f>
        <v>4.0355185985008202E-2</v>
      </c>
      <c r="AL6" s="74">
        <f>SUMIFS('Drivers Macroeconômico'!$AT:$AT,'Drivers Macroeconômico'!$AW:$AW,AL1)</f>
        <v>4.3250041952341833E-2</v>
      </c>
      <c r="AM6" s="74">
        <f>SUMIFS('Drivers Macroeconômico'!$AT:$AT,'Drivers Macroeconômico'!$AW:$AW,AM1)</f>
        <v>4.3250041952341833E-2</v>
      </c>
      <c r="AN6" s="74">
        <f>SUMIFS('Drivers Macroeconômico'!$AT:$AT,'Drivers Macroeconômico'!$AW:$AW,AN1)</f>
        <v>4.2666703950685614E-2</v>
      </c>
      <c r="AO6" s="74">
        <f>SUMIFS('Drivers Macroeconômico'!$AT:$AT,'Drivers Macroeconômico'!$AW:$AW,AO1)</f>
        <v>4.2666703950685614E-2</v>
      </c>
      <c r="AP6" s="74">
        <f>SUMIFS('Drivers Macroeconômico'!$AT:$AT,'Drivers Macroeconômico'!$AW:$AW,AP1)</f>
        <v>4.2666703950685614E-2</v>
      </c>
      <c r="AQ6" s="74">
        <f>SUMIFS('Drivers Macroeconômico'!$AT:$AT,'Drivers Macroeconômico'!$AW:$AW,AQ1)</f>
        <v>4.7905992904401451E-2</v>
      </c>
      <c r="AR6" s="74">
        <f>SUMIFS('Drivers Macroeconômico'!$AT:$AT,'Drivers Macroeconômico'!$AW:$AW,AR1)</f>
        <v>4.7905992904401451E-2</v>
      </c>
      <c r="AS6" s="74">
        <f>SUMIFS('Drivers Macroeconômico'!$AT:$AT,'Drivers Macroeconômico'!$AW:$AW,AS1)</f>
        <v>4.7905992904401451E-2</v>
      </c>
      <c r="AT6" s="74">
        <f>SUMIFS('Drivers Macroeconômico'!$AT:$AT,'Drivers Macroeconômico'!$AW:$AW,AT1)</f>
        <v>4.7905992904401451E-2</v>
      </c>
      <c r="AU6" s="74">
        <f>SUMIFS('Drivers Macroeconômico'!$AT:$AT,'Drivers Macroeconômico'!$AW:$AW,AU1)</f>
        <v>4.7905992904401451E-2</v>
      </c>
      <c r="AV6" s="74">
        <f>SUMIFS('Drivers Macroeconômico'!$AT:$AT,'Drivers Macroeconômico'!$AW:$AW,AV1)</f>
        <v>4.7905992904401451E-2</v>
      </c>
      <c r="AW6" s="74">
        <f>SUMIFS('Drivers Macroeconômico'!$AT:$AT,'Drivers Macroeconômico'!$AW:$AW,AW1)</f>
        <v>4.7905992904401451E-2</v>
      </c>
      <c r="AX6" s="74">
        <f>SUMIFS('Drivers Macroeconômico'!$AT:$AT,'Drivers Macroeconômico'!$AW:$AW,AX1)</f>
        <v>4.7905992904401451E-2</v>
      </c>
      <c r="AY6" s="74">
        <f>SUMIFS('Drivers Macroeconômico'!$AT:$AT,'Drivers Macroeconômico'!$AW:$AW,AY1)</f>
        <v>4.7905992904401451E-2</v>
      </c>
      <c r="AZ6" s="74">
        <f>SUMIFS('Drivers Macroeconômico'!$AT:$AT,'Drivers Macroeconômico'!$AW:$AW,AZ1)</f>
        <v>4.7905992904401451E-2</v>
      </c>
      <c r="BA6" s="74">
        <f>SUMIFS('Drivers Macroeconômico'!$AT:$AT,'Drivers Macroeconômico'!$AW:$AW,BA1)</f>
        <v>4.2402868799912063E-2</v>
      </c>
      <c r="BB6" s="74">
        <f>SUMIFS('Drivers Macroeconômico'!$AT:$AT,'Drivers Macroeconômico'!$AW:$AW,BB1)</f>
        <v>4.2402868799912063E-2</v>
      </c>
      <c r="BC6" s="74">
        <f>SUMIFS('Drivers Macroeconômico'!$AT:$AT,'Drivers Macroeconômico'!$AW:$AW,BC1)</f>
        <v>4.2402868799912063E-2</v>
      </c>
      <c r="BD6" s="74">
        <f>SUMIFS('Drivers Macroeconômico'!$AT:$AT,'Drivers Macroeconômico'!$AW:$AW,BD1)</f>
        <v>4.2402868799912063E-2</v>
      </c>
      <c r="BE6" s="74">
        <f>SUMIFS('Drivers Macroeconômico'!$AT:$AT,'Drivers Macroeconômico'!$AW:$AW,BE1)</f>
        <v>4.2402868799912063E-2</v>
      </c>
      <c r="BF6" s="74">
        <f>SUMIFS('Drivers Macroeconômico'!$AT:$AT,'Drivers Macroeconômico'!$AW:$AW,BF1)</f>
        <v>4.2402868799912063E-2</v>
      </c>
      <c r="BG6" s="74">
        <f>SUMIFS('Drivers Macroeconômico'!$AT:$AT,'Drivers Macroeconômico'!$AW:$AW,BG1)</f>
        <v>4.2402868799912063E-2</v>
      </c>
      <c r="BH6" s="74">
        <f>SUMIFS('Drivers Macroeconômico'!$AT:$AT,'Drivers Macroeconômico'!$AW:$AW,BH1)</f>
        <v>4.2402868799912063E-2</v>
      </c>
      <c r="BI6" s="74">
        <f>SUMIFS('Drivers Macroeconômico'!$AT:$AT,'Drivers Macroeconômico'!$AW:$AW,BI1)</f>
        <v>4.2402868799912063E-2</v>
      </c>
      <c r="BJ6" s="74">
        <f>SUMIFS('Drivers Macroeconômico'!$AT:$AT,'Drivers Macroeconômico'!$AW:$AW,BJ1)</f>
        <v>4.2402868799912063E-2</v>
      </c>
      <c r="BK6" s="74">
        <f>SUMIFS('Drivers Macroeconômico'!$AT:$AT,'Drivers Macroeconômico'!$AW:$AW,BK1)</f>
        <v>4.2402868799912063E-2</v>
      </c>
      <c r="BL6" s="74">
        <f>SUMIFS('Drivers Macroeconômico'!$AT:$AT,'Drivers Macroeconômico'!$AW:$AW,BL1)</f>
        <v>4.2402868799912063E-2</v>
      </c>
      <c r="BM6" s="74">
        <f>SUMIFS('Drivers Macroeconômico'!$AT:$AT,'Drivers Macroeconômico'!$AW:$AW,BM1)</f>
        <v>4.2402868799912063E-2</v>
      </c>
      <c r="BN6" s="74">
        <f>SUMIFS('Drivers Macroeconômico'!$AT:$AT,'Drivers Macroeconômico'!$AW:$AW,BN1)</f>
        <v>4.2402868799912063E-2</v>
      </c>
      <c r="BO6" s="74">
        <f>SUMIFS('Drivers Macroeconômico'!$AT:$AT,'Drivers Macroeconômico'!$AW:$AW,BO1)</f>
        <v>4.2402868799912063E-2</v>
      </c>
      <c r="BP6" s="74">
        <f>SUMIFS('Drivers Macroeconômico'!$AT:$AT,'Drivers Macroeconômico'!$AW:$AW,BP1)</f>
        <v>4.2402868799912063E-2</v>
      </c>
      <c r="BQ6" s="74">
        <f>SUMIFS('Drivers Macroeconômico'!$AT:$AT,'Drivers Macroeconômico'!$AW:$AW,BQ1)</f>
        <v>4.2402868799912063E-2</v>
      </c>
      <c r="BR6" s="74">
        <f>SUMIFS('Drivers Macroeconômico'!$AT:$AT,'Drivers Macroeconômico'!$AW:$AW,BR1)</f>
        <v>4.2402868799912063E-2</v>
      </c>
      <c r="BS6" s="74">
        <f>SUMIFS('Drivers Macroeconômico'!$AT:$AT,'Drivers Macroeconômico'!$AW:$AW,BS1)</f>
        <v>4.2402868799912063E-2</v>
      </c>
      <c r="BT6" s="74">
        <f>SUMIFS('Drivers Macroeconômico'!$AT:$AT,'Drivers Macroeconômico'!$AW:$AW,BT1)</f>
        <v>4.2402868799912063E-2</v>
      </c>
      <c r="BU6" s="74">
        <f>SUMIFS('Drivers Macroeconômico'!$AT:$AT,'Drivers Macroeconômico'!$AW:$AW,BU1)</f>
        <v>4.2402868799912063E-2</v>
      </c>
      <c r="BV6" s="74">
        <f>SUMIFS('Drivers Macroeconômico'!$AT:$AT,'Drivers Macroeconômico'!$AW:$AW,BV1)</f>
        <v>4.2402868799912063E-2</v>
      </c>
      <c r="BW6" s="74">
        <f>SUMIFS('Drivers Macroeconômico'!$AT:$AT,'Drivers Macroeconômico'!$AW:$AW,BW1)</f>
        <v>4.2402868799912063E-2</v>
      </c>
    </row>
    <row r="7" spans="1:75" x14ac:dyDescent="0.3">
      <c r="A7" s="2" t="s">
        <v>509</v>
      </c>
      <c r="B7"/>
      <c r="C7"/>
      <c r="D7"/>
      <c r="E7"/>
      <c r="F7"/>
      <c r="AB7" s="75">
        <v>5.0804028095189979</v>
      </c>
      <c r="AC7" s="75">
        <v>4.8191988353858903</v>
      </c>
      <c r="AD7" s="75">
        <v>5.0076374407268203</v>
      </c>
      <c r="AE7" s="98">
        <f>'Receita Líquida - O&amp;G'!AE17</f>
        <v>4.8499999999999996</v>
      </c>
      <c r="AF7" s="98">
        <f>'Receita Líquida - O&amp;G'!AF17</f>
        <v>4.9324999999999992</v>
      </c>
      <c r="AG7" s="98">
        <f>'Receita Líquida - O&amp;G'!AG17</f>
        <v>4.9326999999999996</v>
      </c>
      <c r="AH7" s="98">
        <f>'Receita Líquida - O&amp;G'!AH17</f>
        <v>5</v>
      </c>
      <c r="AI7" s="98">
        <f>'Receita Líquida - O&amp;G'!AI17</f>
        <v>5.04</v>
      </c>
      <c r="AJ7" s="98">
        <f>'Receita Líquida - O&amp;G'!AJ17</f>
        <v>5.0999999999999996</v>
      </c>
      <c r="AK7" s="98">
        <f>'Receita Líquida - O&amp;G'!AK17</f>
        <v>5.0999999999999996</v>
      </c>
      <c r="AL7" s="98">
        <f>'Receita Líquida - O&amp;G'!AL17</f>
        <v>5.15</v>
      </c>
      <c r="AM7" s="98">
        <f>'Receita Líquida - O&amp;G'!AM17</f>
        <v>5.200490196078432</v>
      </c>
      <c r="AN7" s="98">
        <f>'Receita Líquida - O&amp;G'!AN17</f>
        <v>5.2514753940792014</v>
      </c>
      <c r="AO7" s="98">
        <f>'Receita Líquida - O&amp;G'!AO17</f>
        <v>5.3029604469623308</v>
      </c>
      <c r="AP7" s="98">
        <f>'Receita Líquida - O&amp;G'!AP17</f>
        <v>5.3549502552658828</v>
      </c>
      <c r="AQ7" s="98">
        <f>'Receita Líquida - O&amp;G'!AQ17</f>
        <v>5.4074497675724107</v>
      </c>
      <c r="AR7" s="98">
        <f>'Receita Líquida - O&amp;G'!AR17</f>
        <v>5.4604639809799842</v>
      </c>
      <c r="AS7" s="98">
        <f>'Receita Líquida - O&amp;G'!AS17</f>
        <v>5.5139979415778271</v>
      </c>
      <c r="AT7" s="98">
        <f>'Receita Líquida - O&amp;G'!AT17</f>
        <v>5.5680567449266292</v>
      </c>
      <c r="AU7" s="98">
        <f>'Receita Líquida - O&amp;G'!AU17</f>
        <v>5.6226455365435566</v>
      </c>
      <c r="AV7" s="98">
        <f>'Receita Líquida - O&amp;G'!AV17</f>
        <v>5.6777695123920227</v>
      </c>
      <c r="AW7" s="98">
        <f>'Receita Líquida - O&amp;G'!AW17</f>
        <v>5.7334339193762576</v>
      </c>
      <c r="AX7" s="98">
        <f>'Receita Líquida - O&amp;G'!AX17</f>
        <v>5.7896440558407303</v>
      </c>
      <c r="AY7" s="98">
        <f>'Receita Líquida - O&amp;G'!AY17</f>
        <v>5.8464052720744633</v>
      </c>
      <c r="AZ7" s="98">
        <f>'Receita Líquida - O&amp;G'!AZ17</f>
        <v>5.903722970820291</v>
      </c>
      <c r="BA7" s="98">
        <f>'Receita Líquida - O&amp;G'!BA17</f>
        <v>5.9616026077891178</v>
      </c>
      <c r="BB7" s="98">
        <f>'Receita Líquida - O&amp;G'!BB17</f>
        <v>6.0200496921792075</v>
      </c>
      <c r="BC7" s="98">
        <f>'Receita Líquida - O&amp;G'!BC17</f>
        <v>6.0790697872005719</v>
      </c>
      <c r="BD7" s="98">
        <f>'Receita Líquida - O&amp;G'!BD17</f>
        <v>6.1386685106044991</v>
      </c>
      <c r="BE7" s="98">
        <f>'Receita Líquida - O&amp;G'!BE17</f>
        <v>6.1988515352182691</v>
      </c>
      <c r="BF7" s="98">
        <f>'Receita Líquida - O&amp;G'!BF17</f>
        <v>6.2596245894851146</v>
      </c>
      <c r="BG7" s="98">
        <f>'Receita Líquida - O&amp;G'!BG17</f>
        <v>6.3209934580094789</v>
      </c>
      <c r="BH7" s="98">
        <f>'Receita Líquida - O&amp;G'!BH17</f>
        <v>6.3829639821076105</v>
      </c>
      <c r="BI7" s="98">
        <f>'Receita Líquida - O&amp;G'!BI17</f>
        <v>6.445542060363568</v>
      </c>
      <c r="BJ7" s="98">
        <f>'Receita Líquida - O&amp;G'!BJ17</f>
        <v>6.5087336491906616</v>
      </c>
      <c r="BK7" s="98">
        <f>'Receita Líquida - O&amp;G'!BK17</f>
        <v>6.5725447633984135</v>
      </c>
      <c r="BL7" s="98">
        <f>'Receita Líquida - O&amp;G'!BL17</f>
        <v>6.6369814767650652</v>
      </c>
      <c r="BM7" s="98">
        <f>'Receita Líquida - O&amp;G'!BM17</f>
        <v>6.7020499226157026</v>
      </c>
      <c r="BN7" s="98">
        <f>'Receita Líquida - O&amp;G'!BN17</f>
        <v>6.7677562944060528</v>
      </c>
      <c r="BO7" s="98">
        <f>'Receita Líquida - O&amp;G'!BO17</f>
        <v>6.8341068463119949</v>
      </c>
      <c r="BP7" s="98">
        <f>'Receita Líquida - O&amp;G'!BP17</f>
        <v>6.9011078938248582</v>
      </c>
      <c r="BQ7" s="98">
        <f>'Receita Líquida - O&amp;G'!BQ17</f>
        <v>6.9687658143525528</v>
      </c>
      <c r="BR7" s="98">
        <f>'Receita Líquida - O&amp;G'!BR17</f>
        <v>7.0370870478265974</v>
      </c>
      <c r="BS7" s="98">
        <f>'Receita Líquida - O&amp;G'!BS17</f>
        <v>7.106078097315093</v>
      </c>
      <c r="BT7" s="98">
        <f>'Receita Líquida - O&amp;G'!BT17</f>
        <v>7.175745529641711</v>
      </c>
      <c r="BU7" s="98">
        <f>'Receita Líquida - O&amp;G'!BU17</f>
        <v>7.2460959760107482</v>
      </c>
      <c r="BV7" s="98">
        <f>'Receita Líquida - O&amp;G'!BV17</f>
        <v>7.3171361326383053</v>
      </c>
      <c r="BW7" s="98">
        <f>'Receita Líquida - O&amp;G'!BW17</f>
        <v>7.3888727613896608</v>
      </c>
    </row>
    <row r="8" spans="1:75" x14ac:dyDescent="0.3">
      <c r="G8" s="25"/>
      <c r="H8" s="25"/>
      <c r="I8" s="25"/>
      <c r="J8" s="25"/>
      <c r="K8" s="25"/>
      <c r="L8" s="25"/>
      <c r="M8" s="25"/>
      <c r="N8" s="25"/>
      <c r="O8" s="25"/>
      <c r="P8" s="25"/>
      <c r="Q8" s="25"/>
      <c r="R8" s="25"/>
      <c r="S8" s="25"/>
      <c r="T8" s="25"/>
      <c r="U8" s="25"/>
      <c r="V8" s="25"/>
      <c r="W8" s="25"/>
      <c r="X8" s="25"/>
      <c r="Y8" s="25"/>
      <c r="Z8" s="25"/>
      <c r="AA8" s="25"/>
      <c r="AB8" s="90"/>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row>
    <row r="9" spans="1:75" s="207" customFormat="1" x14ac:dyDescent="0.3">
      <c r="A9" s="207" t="s">
        <v>89</v>
      </c>
      <c r="G9" s="208"/>
      <c r="H9" s="208"/>
      <c r="I9" s="208"/>
      <c r="J9" s="208"/>
      <c r="K9" s="208"/>
      <c r="L9" s="208"/>
      <c r="M9" s="208"/>
      <c r="N9" s="208"/>
      <c r="O9" s="208"/>
      <c r="P9" s="208"/>
      <c r="Q9" s="208"/>
      <c r="R9" s="208"/>
      <c r="S9" s="208"/>
      <c r="T9" s="208"/>
      <c r="U9" s="208"/>
      <c r="V9" s="208"/>
      <c r="W9" s="208"/>
      <c r="X9" s="208"/>
      <c r="Y9" s="208"/>
      <c r="Z9" s="208"/>
      <c r="AA9" s="208"/>
      <c r="AB9" s="250">
        <f>'Fluxo de Caixa dos Acionistas'!AB45/1000</f>
        <v>-264.29000000000002</v>
      </c>
      <c r="AC9" s="250">
        <f>'Fluxo de Caixa dos Acionistas'!AC45/1000</f>
        <v>-341.05399999999997</v>
      </c>
      <c r="AD9" s="250">
        <f>'Fluxo de Caixa dos Acionistas'!AD45/1000</f>
        <v>-112.09699999999999</v>
      </c>
      <c r="AE9" s="250">
        <f>'Fluxo de Caixa dos Acionistas'!AE45/1000</f>
        <v>-333.74900000000002</v>
      </c>
      <c r="AF9" s="48">
        <f>AD9+AE9+AC9+AB9</f>
        <v>-1051.19</v>
      </c>
      <c r="AG9" s="48">
        <f>SUM(AG10:AG12)</f>
        <v>-314.52460494737028</v>
      </c>
      <c r="AH9" s="48">
        <f t="shared" ref="AH9:BL9" ca="1" si="2">SUM(AH10:AH12)</f>
        <v>-504.30654288169575</v>
      </c>
      <c r="AI9" s="48">
        <f t="shared" ca="1" si="2"/>
        <v>-182.47131884162002</v>
      </c>
      <c r="AJ9" s="48">
        <f ca="1">SUM(AJ10:AJ12)</f>
        <v>86.424387638344299</v>
      </c>
      <c r="AK9" s="48">
        <f t="shared" ca="1" si="2"/>
        <v>169.43670827938641</v>
      </c>
      <c r="AL9" s="48">
        <f t="shared" ca="1" si="2"/>
        <v>272.71084747304837</v>
      </c>
      <c r="AM9" s="48">
        <f t="shared" ca="1" si="2"/>
        <v>275.73538404131745</v>
      </c>
      <c r="AN9" s="48">
        <f t="shared" ca="1" si="2"/>
        <v>248.82703557789227</v>
      </c>
      <c r="AO9" s="48">
        <f t="shared" ca="1" si="2"/>
        <v>212.91007730225749</v>
      </c>
      <c r="AP9" s="48">
        <f t="shared" ca="1" si="2"/>
        <v>189.64710020029821</v>
      </c>
      <c r="AQ9" s="48">
        <f t="shared" ca="1" si="2"/>
        <v>187.73524011158617</v>
      </c>
      <c r="AR9" s="48">
        <f t="shared" ca="1" si="2"/>
        <v>170.28269108774586</v>
      </c>
      <c r="AS9" s="48">
        <f t="shared" ca="1" si="2"/>
        <v>152.56028165682733</v>
      </c>
      <c r="AT9" s="48">
        <f t="shared" ca="1" si="2"/>
        <v>134.68331518323637</v>
      </c>
      <c r="AU9" s="48">
        <f t="shared" ca="1" si="2"/>
        <v>119.43471851721398</v>
      </c>
      <c r="AV9" s="48">
        <f t="shared" ca="1" si="2"/>
        <v>108.47158137045123</v>
      </c>
      <c r="AW9" s="48">
        <f t="shared" ca="1" si="2"/>
        <v>99.017952645227098</v>
      </c>
      <c r="AX9" s="48">
        <f t="shared" ca="1" si="2"/>
        <v>80.372679110090644</v>
      </c>
      <c r="AY9" s="48">
        <f t="shared" ca="1" si="2"/>
        <v>72.534915103511025</v>
      </c>
      <c r="AZ9" s="48">
        <f t="shared" ca="1" si="2"/>
        <v>65.658244242571428</v>
      </c>
      <c r="BA9" s="48">
        <f t="shared" ca="1" si="2"/>
        <v>53.512811065374748</v>
      </c>
      <c r="BB9" s="48">
        <f t="shared" ca="1" si="2"/>
        <v>48.96001122978965</v>
      </c>
      <c r="BC9" s="48">
        <f t="shared" ca="1" si="2"/>
        <v>43.815490493515966</v>
      </c>
      <c r="BD9" s="48">
        <f t="shared" ca="1" si="2"/>
        <v>40.897122663280854</v>
      </c>
      <c r="BE9" s="48">
        <f t="shared" ca="1" si="2"/>
        <v>38.618644838914889</v>
      </c>
      <c r="BF9" s="48">
        <f t="shared" ca="1" si="2"/>
        <v>36.697370949671068</v>
      </c>
      <c r="BG9" s="48">
        <f t="shared" ca="1" si="2"/>
        <v>33.123152935449895</v>
      </c>
      <c r="BH9" s="48">
        <f t="shared" ca="1" si="2"/>
        <v>31.107381644109616</v>
      </c>
      <c r="BI9" s="48">
        <f t="shared" ca="1" si="2"/>
        <v>29.834898654958895</v>
      </c>
      <c r="BJ9" s="48">
        <f t="shared" ca="1" si="2"/>
        <v>19.278891031633716</v>
      </c>
      <c r="BK9" s="48">
        <f t="shared" ca="1" si="2"/>
        <v>0</v>
      </c>
      <c r="BL9" s="48">
        <f t="shared" ca="1" si="2"/>
        <v>0</v>
      </c>
      <c r="BM9" s="48">
        <f ca="1">SUM(BM10:BM12)</f>
        <v>0</v>
      </c>
      <c r="BN9" s="48">
        <f t="shared" ref="BN9:BW9" ca="1" si="3">SUM(BN10:BN12)</f>
        <v>0</v>
      </c>
      <c r="BO9" s="48">
        <f t="shared" ca="1" si="3"/>
        <v>0</v>
      </c>
      <c r="BP9" s="48">
        <f t="shared" ca="1" si="3"/>
        <v>0</v>
      </c>
      <c r="BQ9" s="48">
        <f t="shared" ca="1" si="3"/>
        <v>0</v>
      </c>
      <c r="BR9" s="48">
        <f t="shared" ca="1" si="3"/>
        <v>0</v>
      </c>
      <c r="BS9" s="48">
        <f t="shared" ca="1" si="3"/>
        <v>0</v>
      </c>
      <c r="BT9" s="48">
        <f t="shared" ca="1" si="3"/>
        <v>0</v>
      </c>
      <c r="BU9" s="48">
        <f t="shared" ca="1" si="3"/>
        <v>0</v>
      </c>
      <c r="BV9" s="48">
        <f t="shared" ca="1" si="3"/>
        <v>0</v>
      </c>
      <c r="BW9" s="48">
        <f t="shared" ca="1" si="3"/>
        <v>0</v>
      </c>
    </row>
    <row r="10" spans="1:75" x14ac:dyDescent="0.3">
      <c r="A10" s="5" t="s">
        <v>90</v>
      </c>
      <c r="B10" s="5"/>
      <c r="C10" s="5"/>
      <c r="D10" s="5"/>
      <c r="E10" s="5"/>
      <c r="F10" s="5"/>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51">
        <f>AG19</f>
        <v>117.70431119999999</v>
      </c>
      <c r="AH10" s="51">
        <f t="shared" ref="AH10:BL10" ca="1" si="4">AH19</f>
        <v>177.13368697014727</v>
      </c>
      <c r="AI10" s="51">
        <f t="shared" ca="1" si="4"/>
        <v>204.39736959646888</v>
      </c>
      <c r="AJ10" s="51">
        <f t="shared" ca="1" si="4"/>
        <v>209.13813152738868</v>
      </c>
      <c r="AK10" s="51">
        <f t="shared" ca="1" si="4"/>
        <v>215.20797122335068</v>
      </c>
      <c r="AL10" s="51">
        <f t="shared" ca="1" si="4"/>
        <v>222.31620054939336</v>
      </c>
      <c r="AM10" s="51">
        <f t="shared" ca="1" si="4"/>
        <v>224.78182846449428</v>
      </c>
      <c r="AN10" s="51">
        <f t="shared" ca="1" si="4"/>
        <v>202.33472265393377</v>
      </c>
      <c r="AO10" s="51">
        <f t="shared" ca="1" si="4"/>
        <v>173.12870099155504</v>
      </c>
      <c r="AP10" s="51">
        <f t="shared" ca="1" si="4"/>
        <v>154.2123159247231</v>
      </c>
      <c r="AQ10" s="51">
        <f t="shared" ca="1" si="4"/>
        <v>155.84225280553821</v>
      </c>
      <c r="AR10" s="51">
        <f t="shared" ca="1" si="4"/>
        <v>141.35459158936033</v>
      </c>
      <c r="AS10" s="51">
        <f t="shared" ca="1" si="4"/>
        <v>126.64291460631357</v>
      </c>
      <c r="AT10" s="51">
        <f t="shared" ca="1" si="4"/>
        <v>111.80293716298674</v>
      </c>
      <c r="AU10" s="51">
        <f t="shared" ca="1" si="4"/>
        <v>99.144814718082586</v>
      </c>
      <c r="AV10" s="51">
        <f t="shared" ca="1" si="4"/>
        <v>90.044125951540494</v>
      </c>
      <c r="AW10" s="51">
        <f t="shared" ca="1" si="4"/>
        <v>82.196506096843152</v>
      </c>
      <c r="AX10" s="51">
        <f t="shared" ca="1" si="4"/>
        <v>66.718743742987513</v>
      </c>
      <c r="AY10" s="51">
        <f t="shared" ca="1" si="4"/>
        <v>60.212480992224556</v>
      </c>
      <c r="AZ10" s="51">
        <f t="shared" ca="1" si="4"/>
        <v>54.504038197286214</v>
      </c>
      <c r="BA10" s="51">
        <f t="shared" ca="1" si="4"/>
        <v>43.46363165981856</v>
      </c>
      <c r="BB10" s="51">
        <f t="shared" ca="1" si="4"/>
        <v>39.765802838361061</v>
      </c>
      <c r="BC10" s="51">
        <f t="shared" ca="1" si="4"/>
        <v>35.587372479422719</v>
      </c>
      <c r="BD10" s="51">
        <f t="shared" ca="1" si="4"/>
        <v>33.21704541388609</v>
      </c>
      <c r="BE10" s="51">
        <f t="shared" ca="1" si="4"/>
        <v>31.366443306993848</v>
      </c>
      <c r="BF10" s="51">
        <f t="shared" ca="1" si="4"/>
        <v>29.805965750737254</v>
      </c>
      <c r="BG10" s="51">
        <f t="shared" ca="1" si="4"/>
        <v>26.9029507128575</v>
      </c>
      <c r="BH10" s="51">
        <f t="shared" ca="1" si="4"/>
        <v>25.265721436858275</v>
      </c>
      <c r="BI10" s="51">
        <f t="shared" ca="1" si="4"/>
        <v>24.232198233110488</v>
      </c>
      <c r="BJ10" s="51">
        <f t="shared" ca="1" si="4"/>
        <v>15.658504980892115</v>
      </c>
      <c r="BK10" s="51">
        <f t="shared" ca="1" si="4"/>
        <v>0</v>
      </c>
      <c r="BL10" s="51">
        <f t="shared" ca="1" si="4"/>
        <v>0</v>
      </c>
      <c r="BM10" s="51">
        <f t="shared" ref="BM10:BW10" ca="1" si="5">BM19</f>
        <v>0</v>
      </c>
      <c r="BN10" s="51">
        <f t="shared" ca="1" si="5"/>
        <v>0</v>
      </c>
      <c r="BO10" s="51">
        <f t="shared" ca="1" si="5"/>
        <v>0</v>
      </c>
      <c r="BP10" s="51">
        <f t="shared" ca="1" si="5"/>
        <v>0</v>
      </c>
      <c r="BQ10" s="51">
        <f t="shared" ca="1" si="5"/>
        <v>0</v>
      </c>
      <c r="BR10" s="51">
        <f t="shared" ca="1" si="5"/>
        <v>0</v>
      </c>
      <c r="BS10" s="51">
        <f t="shared" ca="1" si="5"/>
        <v>0</v>
      </c>
      <c r="BT10" s="51">
        <f t="shared" ca="1" si="5"/>
        <v>0</v>
      </c>
      <c r="BU10" s="51">
        <f t="shared" ca="1" si="5"/>
        <v>0</v>
      </c>
      <c r="BV10" s="51">
        <f t="shared" ca="1" si="5"/>
        <v>0</v>
      </c>
      <c r="BW10" s="51">
        <f t="shared" ca="1" si="5"/>
        <v>0</v>
      </c>
    </row>
    <row r="11" spans="1:75" x14ac:dyDescent="0.3">
      <c r="A11" s="5" t="s">
        <v>91</v>
      </c>
      <c r="B11" s="5"/>
      <c r="C11" s="5"/>
      <c r="D11" s="5"/>
      <c r="E11" s="5"/>
      <c r="F11" s="5"/>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51">
        <f>AG39</f>
        <v>-430.75028334736714</v>
      </c>
      <c r="AH11" s="51">
        <f t="shared" ref="AH11:BL11" si="6">AH39</f>
        <v>-318.15266786715858</v>
      </c>
      <c r="AI11" s="51">
        <f t="shared" si="6"/>
        <v>-233.36888943813884</v>
      </c>
      <c r="AJ11" s="51">
        <f t="shared" si="6"/>
        <v>-82.166591608863897</v>
      </c>
      <c r="AK11" s="51">
        <f t="shared" si="6"/>
        <v>-45.771262943964281</v>
      </c>
      <c r="AL11" s="51">
        <f t="shared" si="6"/>
        <v>0</v>
      </c>
      <c r="AM11" s="51">
        <f t="shared" si="6"/>
        <v>0</v>
      </c>
      <c r="AN11" s="51">
        <f t="shared" si="6"/>
        <v>0</v>
      </c>
      <c r="AO11" s="51">
        <f t="shared" si="6"/>
        <v>0</v>
      </c>
      <c r="AP11" s="51">
        <f t="shared" si="6"/>
        <v>0</v>
      </c>
      <c r="AQ11" s="51">
        <f t="shared" si="6"/>
        <v>0</v>
      </c>
      <c r="AR11" s="51">
        <f t="shared" si="6"/>
        <v>0</v>
      </c>
      <c r="AS11" s="51">
        <f t="shared" si="6"/>
        <v>0</v>
      </c>
      <c r="AT11" s="51">
        <f t="shared" si="6"/>
        <v>0</v>
      </c>
      <c r="AU11" s="51">
        <f t="shared" si="6"/>
        <v>0</v>
      </c>
      <c r="AV11" s="51">
        <f t="shared" si="6"/>
        <v>0</v>
      </c>
      <c r="AW11" s="51">
        <f t="shared" si="6"/>
        <v>0</v>
      </c>
      <c r="AX11" s="51">
        <f t="shared" si="6"/>
        <v>0</v>
      </c>
      <c r="AY11" s="51">
        <f t="shared" si="6"/>
        <v>0</v>
      </c>
      <c r="AZ11" s="51">
        <f t="shared" si="6"/>
        <v>0</v>
      </c>
      <c r="BA11" s="51">
        <f t="shared" si="6"/>
        <v>0</v>
      </c>
      <c r="BB11" s="51">
        <f t="shared" si="6"/>
        <v>0</v>
      </c>
      <c r="BC11" s="51">
        <f t="shared" si="6"/>
        <v>0</v>
      </c>
      <c r="BD11" s="51">
        <f t="shared" si="6"/>
        <v>0</v>
      </c>
      <c r="BE11" s="51">
        <f t="shared" si="6"/>
        <v>0</v>
      </c>
      <c r="BF11" s="51">
        <f t="shared" si="6"/>
        <v>0</v>
      </c>
      <c r="BG11" s="51">
        <f t="shared" si="6"/>
        <v>0</v>
      </c>
      <c r="BH11" s="51">
        <f t="shared" si="6"/>
        <v>0</v>
      </c>
      <c r="BI11" s="51">
        <f t="shared" si="6"/>
        <v>0</v>
      </c>
      <c r="BJ11" s="51">
        <f t="shared" si="6"/>
        <v>0</v>
      </c>
      <c r="BK11" s="51">
        <f t="shared" si="6"/>
        <v>0</v>
      </c>
      <c r="BL11" s="51">
        <f t="shared" si="6"/>
        <v>0</v>
      </c>
      <c r="BM11" s="51">
        <f t="shared" ref="BM11:BW11" si="7">BM39</f>
        <v>0</v>
      </c>
      <c r="BN11" s="51">
        <f t="shared" si="7"/>
        <v>0</v>
      </c>
      <c r="BO11" s="51">
        <f t="shared" si="7"/>
        <v>0</v>
      </c>
      <c r="BP11" s="51">
        <f t="shared" si="7"/>
        <v>0</v>
      </c>
      <c r="BQ11" s="51">
        <f t="shared" si="7"/>
        <v>0</v>
      </c>
      <c r="BR11" s="51">
        <f t="shared" si="7"/>
        <v>0</v>
      </c>
      <c r="BS11" s="51">
        <f t="shared" si="7"/>
        <v>0</v>
      </c>
      <c r="BT11" s="51">
        <f t="shared" si="7"/>
        <v>0</v>
      </c>
      <c r="BU11" s="51">
        <f t="shared" si="7"/>
        <v>0</v>
      </c>
      <c r="BV11" s="51">
        <f t="shared" si="7"/>
        <v>0</v>
      </c>
      <c r="BW11" s="51">
        <f t="shared" si="7"/>
        <v>0</v>
      </c>
    </row>
    <row r="12" spans="1:75" x14ac:dyDescent="0.3">
      <c r="A12" s="5" t="s">
        <v>92</v>
      </c>
      <c r="B12" s="5"/>
      <c r="C12" s="5"/>
      <c r="D12" s="5"/>
      <c r="E12" s="5"/>
      <c r="F12" s="5"/>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51">
        <f>AG22+AG40</f>
        <v>-1.4786328000031204</v>
      </c>
      <c r="AH12" s="51">
        <f ca="1">AH22+AH40</f>
        <v>-363.28756198468443</v>
      </c>
      <c r="AI12" s="51">
        <f ca="1">AI22+AI40</f>
        <v>-153.49979899995006</v>
      </c>
      <c r="AJ12" s="51">
        <f ca="1">AJ22+AJ40</f>
        <v>-40.547152280180484</v>
      </c>
      <c r="AK12" s="51">
        <f ca="1">AK22+AK40</f>
        <v>0</v>
      </c>
      <c r="AL12" s="51">
        <f ca="1">AL22+AL40</f>
        <v>50.394646923655039</v>
      </c>
      <c r="AM12" s="51">
        <f ca="1">AM22+AM40</f>
        <v>50.953555576823156</v>
      </c>
      <c r="AN12" s="51">
        <f ca="1">AN22+AN40</f>
        <v>46.492312923958501</v>
      </c>
      <c r="AO12" s="51">
        <f ca="1">AO22+AO40</f>
        <v>39.781376310702449</v>
      </c>
      <c r="AP12" s="51">
        <f ca="1">AP22+AP40</f>
        <v>35.434784275575126</v>
      </c>
      <c r="AQ12" s="51">
        <f ca="1">AQ22+AQ40</f>
        <v>31.892987306047946</v>
      </c>
      <c r="AR12" s="51">
        <f ca="1">AR22+AR40</f>
        <v>28.928099498385535</v>
      </c>
      <c r="AS12" s="51">
        <f ca="1">AS22+AS40</f>
        <v>25.91736705051375</v>
      </c>
      <c r="AT12" s="51">
        <f ca="1">AT22+AT40</f>
        <v>22.880378020249644</v>
      </c>
      <c r="AU12" s="51">
        <f ca="1">AU22+AU40</f>
        <v>20.289903799131395</v>
      </c>
      <c r="AV12" s="51">
        <f ca="1">AV22+AV40</f>
        <v>18.427455418910739</v>
      </c>
      <c r="AW12" s="51">
        <f ca="1">AW22+AW40</f>
        <v>16.821446548383946</v>
      </c>
      <c r="AX12" s="51">
        <f ca="1">AX22+AX40</f>
        <v>13.653935367103125</v>
      </c>
      <c r="AY12" s="51">
        <f ca="1">AY22+AY40</f>
        <v>12.322434111286473</v>
      </c>
      <c r="AZ12" s="51">
        <f ca="1">AZ22+AZ40</f>
        <v>11.154206045285218</v>
      </c>
      <c r="BA12" s="51">
        <f ca="1">BA22+BA40</f>
        <v>10.049179405556185</v>
      </c>
      <c r="BB12" s="51">
        <f ca="1">BB22+BB40</f>
        <v>9.194208391428587</v>
      </c>
      <c r="BC12" s="51">
        <f ca="1">BC22+BC40</f>
        <v>8.2281180140932513</v>
      </c>
      <c r="BD12" s="51">
        <f ca="1">BD22+BD40</f>
        <v>7.680077249394766</v>
      </c>
      <c r="BE12" s="51">
        <f ca="1">BE22+BE40</f>
        <v>7.2522015319210418</v>
      </c>
      <c r="BF12" s="51">
        <f ca="1">BF22+BF40</f>
        <v>6.8914051989338132</v>
      </c>
      <c r="BG12" s="51">
        <f ca="1">BG22+BG40</f>
        <v>6.2202022225923947</v>
      </c>
      <c r="BH12" s="51">
        <f ca="1">BH22+BH40</f>
        <v>5.8416602072513424</v>
      </c>
      <c r="BI12" s="51">
        <f ca="1">BI22+BI40</f>
        <v>5.6027004218484082</v>
      </c>
      <c r="BJ12" s="51">
        <f ca="1">BJ22+BJ40</f>
        <v>3.6203860507416015</v>
      </c>
      <c r="BK12" s="51">
        <f ca="1">BK22+BK40</f>
        <v>0</v>
      </c>
      <c r="BL12" s="51">
        <f ca="1">BL22+BL40</f>
        <v>0</v>
      </c>
      <c r="BM12" s="51">
        <f ca="1">BM22+BM40</f>
        <v>0</v>
      </c>
      <c r="BN12" s="51">
        <f ca="1">BN22+BN40</f>
        <v>0</v>
      </c>
      <c r="BO12" s="51">
        <f ca="1">BO22+BO40</f>
        <v>0</v>
      </c>
      <c r="BP12" s="51">
        <f ca="1">BP22+BP40</f>
        <v>0</v>
      </c>
      <c r="BQ12" s="51">
        <f ca="1">BQ22+BQ40</f>
        <v>0</v>
      </c>
      <c r="BR12" s="51">
        <f ca="1">BR22+BR40</f>
        <v>0</v>
      </c>
      <c r="BS12" s="51">
        <f ca="1">BS22+BS40</f>
        <v>0</v>
      </c>
      <c r="BT12" s="51">
        <f ca="1">BT22+BT40</f>
        <v>0</v>
      </c>
      <c r="BU12" s="51">
        <f ca="1">BU22+BU40</f>
        <v>0</v>
      </c>
      <c r="BV12" s="51">
        <f ca="1">BV22+BV40</f>
        <v>0</v>
      </c>
      <c r="BW12" s="51">
        <f ca="1">BW22+BW40</f>
        <v>0</v>
      </c>
    </row>
    <row r="13" spans="1:75" x14ac:dyDescent="0.3">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row>
    <row r="14" spans="1:75" s="207" customFormat="1" ht="13.8" x14ac:dyDescent="0.3">
      <c r="A14" s="207" t="s">
        <v>106</v>
      </c>
    </row>
    <row r="15" spans="1:75" s="2" customFormat="1" ht="13.8" x14ac:dyDescent="0.3">
      <c r="AA15" s="97">
        <f>AA16-'Balanço Planilhado'!AA17/1000</f>
        <v>0</v>
      </c>
      <c r="AB15" s="97">
        <f>AB16-'Balanço Planilhado'!AB17/1000</f>
        <v>0</v>
      </c>
      <c r="AC15" s="97">
        <f>AC16-'Balanço Planilhado'!AC17/1000</f>
        <v>0</v>
      </c>
      <c r="AD15" s="97">
        <f>AD16-'Balanço Planilhado'!AD17/1000</f>
        <v>0</v>
      </c>
    </row>
    <row r="16" spans="1:75" x14ac:dyDescent="0.3">
      <c r="A16" s="6" t="s">
        <v>93</v>
      </c>
      <c r="B16" s="5"/>
      <c r="C16" s="5"/>
      <c r="D16" s="5"/>
      <c r="E16" s="5"/>
      <c r="F16" s="5"/>
      <c r="G16" s="78">
        <f>154.109+643.783+11.628</f>
        <v>809.5200000000001</v>
      </c>
      <c r="H16" s="24"/>
      <c r="I16" s="24"/>
      <c r="J16" s="24"/>
      <c r="K16" s="24"/>
      <c r="L16" s="78">
        <f>459.396+226.301+52.223</f>
        <v>737.92</v>
      </c>
      <c r="M16" s="24"/>
      <c r="N16" s="24"/>
      <c r="O16" s="24"/>
      <c r="P16" s="24"/>
      <c r="Q16" s="78">
        <f>(809273+22793+49996)/1000</f>
        <v>882.06200000000001</v>
      </c>
      <c r="R16" s="24"/>
      <c r="S16" s="24"/>
      <c r="T16" s="24"/>
      <c r="U16" s="24"/>
      <c r="V16" s="78">
        <v>970.61800000000005</v>
      </c>
      <c r="W16" s="24"/>
      <c r="X16" s="24"/>
      <c r="Y16" s="24"/>
      <c r="Z16" s="24"/>
      <c r="AA16" s="78">
        <v>9612.9609999999993</v>
      </c>
      <c r="AB16" s="78">
        <v>527.17999999999995</v>
      </c>
      <c r="AC16" s="78">
        <v>1155.2529999999999</v>
      </c>
      <c r="AD16" s="78">
        <v>2225.259</v>
      </c>
      <c r="AE16" s="78">
        <v>2335.4029999999998</v>
      </c>
      <c r="AF16" s="51">
        <f>'Balanço Planilhado'!AF17/1000</f>
        <v>2335.4029999999998</v>
      </c>
      <c r="AG16" s="51">
        <f ca="1">'Balanço Planilhado'!AG17/1000</f>
        <v>4099.1460894113607</v>
      </c>
      <c r="AH16" s="51">
        <f ca="1">'Balanço Planilhado'!AH17/1000</f>
        <v>5082.7591250062624</v>
      </c>
      <c r="AI16" s="51">
        <f ca="1">'Balanço Planilhado'!AI17/1000</f>
        <v>5182.4350804648184</v>
      </c>
      <c r="AJ16" s="51">
        <f ca="1">'Balanço Planilhado'!AJ17/1000</f>
        <v>5332.845481205306</v>
      </c>
      <c r="AK16" s="51">
        <f ca="1">'Balanço Planilhado'!AK17/1000</f>
        <v>5140.2539862127405</v>
      </c>
      <c r="AL16" s="51">
        <f ca="1">'Balanço Planilhado'!AL17/1000</f>
        <v>5197.2626688359351</v>
      </c>
      <c r="AM16" s="51">
        <f ca="1">'Balanço Planilhado'!AM17/1000</f>
        <v>4742.2159182437254</v>
      </c>
      <c r="AN16" s="51">
        <f ca="1">'Balanço Planilhado'!AN17/1000</f>
        <v>4057.7003836916497</v>
      </c>
      <c r="AO16" s="51">
        <f ca="1">'Balanço Planilhado'!AO17/1000</f>
        <v>3614.3479961086859</v>
      </c>
      <c r="AP16" s="51">
        <f ca="1">'Balanço Planilhado'!AP17/1000</f>
        <v>3253.0847052169106</v>
      </c>
      <c r="AQ16" s="51">
        <f ca="1">'Balanço Planilhado'!AQ17/1000</f>
        <v>2950.666148835277</v>
      </c>
      <c r="AR16" s="51">
        <f ca="1">'Balanço Planilhado'!AR17/1000</f>
        <v>2643.5714391524075</v>
      </c>
      <c r="AS16" s="51">
        <f ca="1">'Balanço Planilhado'!AS17/1000</f>
        <v>2333.7985580654699</v>
      </c>
      <c r="AT16" s="51">
        <f ca="1">'Balanço Planilhado'!AT17/1000</f>
        <v>2069.5701875114141</v>
      </c>
      <c r="AU16" s="51">
        <f ca="1">'Balanço Planilhado'!AU17/1000</f>
        <v>1879.6004527289012</v>
      </c>
      <c r="AV16" s="51">
        <f ca="1">'Balanço Planilhado'!AV17/1000</f>
        <v>1715.787547935181</v>
      </c>
      <c r="AW16" s="51">
        <f ca="1">'Balanço Planilhado'!AW17/1000</f>
        <v>1392.701407444529</v>
      </c>
      <c r="AX16" s="51">
        <f ca="1">'Balanço Planilhado'!AX17/1000</f>
        <v>1256.888279351213</v>
      </c>
      <c r="AY16" s="51">
        <f ca="1">'Balanço Planilhado'!AY17/1000</f>
        <v>1137.7290166190994</v>
      </c>
      <c r="AZ16" s="51">
        <f ca="1">'Balanço Planilhado'!AZ17/1000</f>
        <v>1025.0162993667234</v>
      </c>
      <c r="BA16" s="51">
        <f ca="1">'Balanço Planilhado'!BA17/1000</f>
        <v>937.80925592571054</v>
      </c>
      <c r="BB16" s="51">
        <f ca="1">'Balanço Planilhado'!BB17/1000</f>
        <v>839.26803743751702</v>
      </c>
      <c r="BC16" s="51">
        <f ca="1">'Balanço Planilhado'!BC17/1000</f>
        <v>783.36787943826516</v>
      </c>
      <c r="BD16" s="51">
        <f ca="1">'Balanço Planilhado'!BD17/1000</f>
        <v>739.72455625594125</v>
      </c>
      <c r="BE16" s="51">
        <f ca="1">'Balanço Planilhado'!BE17/1000</f>
        <v>702.92333029125302</v>
      </c>
      <c r="BF16" s="51">
        <f ca="1">'Balanço Planilhado'!BF17/1000</f>
        <v>634.46062670441984</v>
      </c>
      <c r="BG16" s="51">
        <f ca="1">'Balanço Planilhado'!BG17/1000</f>
        <v>595.84934113964175</v>
      </c>
      <c r="BH16" s="51">
        <f ca="1">'Balanço Planilhado'!BH17/1000</f>
        <v>571.4754430285326</v>
      </c>
      <c r="BI16" s="51">
        <f ca="1">'Balanço Planilhado'!BI17/1000</f>
        <v>369.27937717564498</v>
      </c>
      <c r="BJ16" s="51">
        <f ca="1">'Balanço Planilhado'!BJ17/1000</f>
        <v>0</v>
      </c>
      <c r="BK16" s="51">
        <f ca="1">'Balanço Planilhado'!BK17/1000</f>
        <v>0</v>
      </c>
      <c r="BL16" s="51">
        <f ca="1">'Balanço Planilhado'!BL17/1000</f>
        <v>0</v>
      </c>
      <c r="BM16" s="51">
        <f ca="1">'Balanço Planilhado'!BM17/1000</f>
        <v>0</v>
      </c>
      <c r="BN16" s="51">
        <f ca="1">'Balanço Planilhado'!BN17/1000</f>
        <v>0</v>
      </c>
      <c r="BO16" s="51">
        <f ca="1">'Balanço Planilhado'!BO17/1000</f>
        <v>0</v>
      </c>
      <c r="BP16" s="51">
        <f ca="1">'Balanço Planilhado'!BP17/1000</f>
        <v>0</v>
      </c>
      <c r="BQ16" s="51">
        <f ca="1">'Balanço Planilhado'!BQ17/1000</f>
        <v>0</v>
      </c>
      <c r="BR16" s="51">
        <f ca="1">'Balanço Planilhado'!BR17/1000</f>
        <v>0</v>
      </c>
      <c r="BS16" s="51">
        <f ca="1">'Balanço Planilhado'!BS17/1000</f>
        <v>0</v>
      </c>
      <c r="BT16" s="51">
        <f ca="1">'Balanço Planilhado'!BT17/1000</f>
        <v>0</v>
      </c>
      <c r="BU16" s="51">
        <f ca="1">'Balanço Planilhado'!BU17/1000</f>
        <v>0</v>
      </c>
      <c r="BV16" s="51">
        <f ca="1">'Balanço Planilhado'!BV17/1000</f>
        <v>0</v>
      </c>
      <c r="BW16" s="51">
        <f ca="1">'Balanço Planilhado'!BW17/1000</f>
        <v>0</v>
      </c>
    </row>
    <row r="17" spans="1:75" x14ac:dyDescent="0.3">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row>
    <row r="18" spans="1:75" x14ac:dyDescent="0.3">
      <c r="A18" s="2" t="s">
        <v>105</v>
      </c>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74">
        <f>AG6</f>
        <v>5.04E-2</v>
      </c>
      <c r="AH18" s="74">
        <f t="shared" ref="AH18:BW18" si="8">AH6</f>
        <v>4.3212338156892516E-2</v>
      </c>
      <c r="AI18" s="74">
        <f t="shared" si="8"/>
        <v>4.0213861127290196E-2</v>
      </c>
      <c r="AJ18" s="74">
        <f t="shared" si="8"/>
        <v>4.0355185985008202E-2</v>
      </c>
      <c r="AK18" s="74">
        <f t="shared" si="8"/>
        <v>4.0355185985008202E-2</v>
      </c>
      <c r="AL18" s="74">
        <f t="shared" si="8"/>
        <v>4.3250041952341833E-2</v>
      </c>
      <c r="AM18" s="74">
        <f t="shared" si="8"/>
        <v>4.3250041952341833E-2</v>
      </c>
      <c r="AN18" s="74">
        <f t="shared" si="8"/>
        <v>4.2666703950685614E-2</v>
      </c>
      <c r="AO18" s="74">
        <f t="shared" si="8"/>
        <v>4.2666703950685614E-2</v>
      </c>
      <c r="AP18" s="74">
        <f t="shared" si="8"/>
        <v>4.2666703950685614E-2</v>
      </c>
      <c r="AQ18" s="74">
        <f t="shared" si="8"/>
        <v>4.7905992904401451E-2</v>
      </c>
      <c r="AR18" s="74">
        <f t="shared" si="8"/>
        <v>4.7905992904401451E-2</v>
      </c>
      <c r="AS18" s="74">
        <f t="shared" si="8"/>
        <v>4.7905992904401451E-2</v>
      </c>
      <c r="AT18" s="74">
        <f t="shared" si="8"/>
        <v>4.7905992904401451E-2</v>
      </c>
      <c r="AU18" s="74">
        <f t="shared" si="8"/>
        <v>4.7905992904401451E-2</v>
      </c>
      <c r="AV18" s="74">
        <f t="shared" si="8"/>
        <v>4.7905992904401451E-2</v>
      </c>
      <c r="AW18" s="74">
        <f t="shared" si="8"/>
        <v>4.7905992904401451E-2</v>
      </c>
      <c r="AX18" s="74">
        <f t="shared" si="8"/>
        <v>4.7905992904401451E-2</v>
      </c>
      <c r="AY18" s="74">
        <f t="shared" si="8"/>
        <v>4.7905992904401451E-2</v>
      </c>
      <c r="AZ18" s="74">
        <f t="shared" si="8"/>
        <v>4.7905992904401451E-2</v>
      </c>
      <c r="BA18" s="74">
        <f t="shared" si="8"/>
        <v>4.2402868799912063E-2</v>
      </c>
      <c r="BB18" s="74">
        <f t="shared" si="8"/>
        <v>4.2402868799912063E-2</v>
      </c>
      <c r="BC18" s="74">
        <f t="shared" si="8"/>
        <v>4.2402868799912063E-2</v>
      </c>
      <c r="BD18" s="74">
        <f t="shared" si="8"/>
        <v>4.2402868799912063E-2</v>
      </c>
      <c r="BE18" s="74">
        <f t="shared" si="8"/>
        <v>4.2402868799912063E-2</v>
      </c>
      <c r="BF18" s="74">
        <f t="shared" si="8"/>
        <v>4.2402868799912063E-2</v>
      </c>
      <c r="BG18" s="74">
        <f t="shared" si="8"/>
        <v>4.2402868799912063E-2</v>
      </c>
      <c r="BH18" s="74">
        <f t="shared" si="8"/>
        <v>4.2402868799912063E-2</v>
      </c>
      <c r="BI18" s="74">
        <f t="shared" si="8"/>
        <v>4.2402868799912063E-2</v>
      </c>
      <c r="BJ18" s="74">
        <f t="shared" si="8"/>
        <v>4.2402868799912063E-2</v>
      </c>
      <c r="BK18" s="74">
        <f t="shared" si="8"/>
        <v>4.2402868799912063E-2</v>
      </c>
      <c r="BL18" s="74">
        <f t="shared" si="8"/>
        <v>4.2402868799912063E-2</v>
      </c>
      <c r="BM18" s="74">
        <f t="shared" si="8"/>
        <v>4.2402868799912063E-2</v>
      </c>
      <c r="BN18" s="74">
        <f t="shared" si="8"/>
        <v>4.2402868799912063E-2</v>
      </c>
      <c r="BO18" s="74">
        <f t="shared" si="8"/>
        <v>4.2402868799912063E-2</v>
      </c>
      <c r="BP18" s="74">
        <f t="shared" si="8"/>
        <v>4.2402868799912063E-2</v>
      </c>
      <c r="BQ18" s="74">
        <f t="shared" si="8"/>
        <v>4.2402868799912063E-2</v>
      </c>
      <c r="BR18" s="74">
        <f t="shared" si="8"/>
        <v>4.2402868799912063E-2</v>
      </c>
      <c r="BS18" s="74">
        <f t="shared" si="8"/>
        <v>4.2402868799912063E-2</v>
      </c>
      <c r="BT18" s="74">
        <f t="shared" si="8"/>
        <v>4.2402868799912063E-2</v>
      </c>
      <c r="BU18" s="74">
        <f t="shared" si="8"/>
        <v>4.2402868799912063E-2</v>
      </c>
      <c r="BV18" s="74">
        <f t="shared" si="8"/>
        <v>4.2402868799912063E-2</v>
      </c>
      <c r="BW18" s="74">
        <f t="shared" si="8"/>
        <v>4.2402868799912063E-2</v>
      </c>
    </row>
    <row r="19" spans="1:75" s="34" customFormat="1" x14ac:dyDescent="0.3">
      <c r="A19" s="4" t="s">
        <v>94</v>
      </c>
      <c r="B19" s="4"/>
      <c r="C19" s="4"/>
      <c r="D19" s="4"/>
      <c r="E19" s="4"/>
      <c r="F19" s="4"/>
      <c r="AC19" s="25"/>
      <c r="AD19" s="25"/>
      <c r="AE19" s="25"/>
      <c r="AG19" s="48">
        <f>AG18*AF16</f>
        <v>117.70431119999999</v>
      </c>
      <c r="AH19" s="48">
        <f t="shared" ref="AH19:BW19" ca="1" si="9">AH18*AG16</f>
        <v>177.13368697014727</v>
      </c>
      <c r="AI19" s="48">
        <f t="shared" ca="1" si="9"/>
        <v>204.39736959646888</v>
      </c>
      <c r="AJ19" s="48">
        <f t="shared" ca="1" si="9"/>
        <v>209.13813152738868</v>
      </c>
      <c r="AK19" s="48">
        <f t="shared" ca="1" si="9"/>
        <v>215.20797122335068</v>
      </c>
      <c r="AL19" s="48">
        <f t="shared" ca="1" si="9"/>
        <v>222.31620054939336</v>
      </c>
      <c r="AM19" s="48">
        <f t="shared" ca="1" si="9"/>
        <v>224.78182846449428</v>
      </c>
      <c r="AN19" s="48">
        <f t="shared" ca="1" si="9"/>
        <v>202.33472265393377</v>
      </c>
      <c r="AO19" s="48">
        <f t="shared" ca="1" si="9"/>
        <v>173.12870099155504</v>
      </c>
      <c r="AP19" s="48">
        <f t="shared" ca="1" si="9"/>
        <v>154.2123159247231</v>
      </c>
      <c r="AQ19" s="48">
        <f t="shared" ca="1" si="9"/>
        <v>155.84225280553821</v>
      </c>
      <c r="AR19" s="48">
        <f t="shared" ca="1" si="9"/>
        <v>141.35459158936033</v>
      </c>
      <c r="AS19" s="48">
        <f t="shared" ca="1" si="9"/>
        <v>126.64291460631357</v>
      </c>
      <c r="AT19" s="48">
        <f t="shared" ca="1" si="9"/>
        <v>111.80293716298674</v>
      </c>
      <c r="AU19" s="48">
        <f t="shared" ca="1" si="9"/>
        <v>99.144814718082586</v>
      </c>
      <c r="AV19" s="48">
        <f t="shared" ca="1" si="9"/>
        <v>90.044125951540494</v>
      </c>
      <c r="AW19" s="48">
        <f t="shared" ca="1" si="9"/>
        <v>82.196506096843152</v>
      </c>
      <c r="AX19" s="48">
        <f t="shared" ca="1" si="9"/>
        <v>66.718743742987513</v>
      </c>
      <c r="AY19" s="48">
        <f t="shared" ca="1" si="9"/>
        <v>60.212480992224556</v>
      </c>
      <c r="AZ19" s="48">
        <f t="shared" ca="1" si="9"/>
        <v>54.504038197286214</v>
      </c>
      <c r="BA19" s="48">
        <f t="shared" ca="1" si="9"/>
        <v>43.46363165981856</v>
      </c>
      <c r="BB19" s="48">
        <f t="shared" ca="1" si="9"/>
        <v>39.765802838361061</v>
      </c>
      <c r="BC19" s="48">
        <f t="shared" ca="1" si="9"/>
        <v>35.587372479422719</v>
      </c>
      <c r="BD19" s="48">
        <f t="shared" ca="1" si="9"/>
        <v>33.21704541388609</v>
      </c>
      <c r="BE19" s="48">
        <f t="shared" ca="1" si="9"/>
        <v>31.366443306993848</v>
      </c>
      <c r="BF19" s="48">
        <f t="shared" ca="1" si="9"/>
        <v>29.805965750737254</v>
      </c>
      <c r="BG19" s="48">
        <f t="shared" ca="1" si="9"/>
        <v>26.9029507128575</v>
      </c>
      <c r="BH19" s="48">
        <f t="shared" ca="1" si="9"/>
        <v>25.265721436858275</v>
      </c>
      <c r="BI19" s="48">
        <f t="shared" ca="1" si="9"/>
        <v>24.232198233110488</v>
      </c>
      <c r="BJ19" s="48">
        <f t="shared" ca="1" si="9"/>
        <v>15.658504980892115</v>
      </c>
      <c r="BK19" s="48">
        <f t="shared" ca="1" si="9"/>
        <v>0</v>
      </c>
      <c r="BL19" s="48">
        <f t="shared" ca="1" si="9"/>
        <v>0</v>
      </c>
      <c r="BM19" s="48">
        <f t="shared" ca="1" si="9"/>
        <v>0</v>
      </c>
      <c r="BN19" s="48">
        <f t="shared" ca="1" si="9"/>
        <v>0</v>
      </c>
      <c r="BO19" s="48">
        <f t="shared" ca="1" si="9"/>
        <v>0</v>
      </c>
      <c r="BP19" s="48">
        <f t="shared" ca="1" si="9"/>
        <v>0</v>
      </c>
      <c r="BQ19" s="48">
        <f t="shared" ca="1" si="9"/>
        <v>0</v>
      </c>
      <c r="BR19" s="48">
        <f t="shared" ca="1" si="9"/>
        <v>0</v>
      </c>
      <c r="BS19" s="48">
        <f t="shared" ca="1" si="9"/>
        <v>0</v>
      </c>
      <c r="BT19" s="48">
        <f t="shared" ca="1" si="9"/>
        <v>0</v>
      </c>
      <c r="BU19" s="48">
        <f t="shared" ca="1" si="9"/>
        <v>0</v>
      </c>
      <c r="BV19" s="48">
        <f t="shared" ca="1" si="9"/>
        <v>0</v>
      </c>
      <c r="BW19" s="48">
        <f t="shared" ca="1" si="9"/>
        <v>0</v>
      </c>
    </row>
    <row r="20" spans="1:75" x14ac:dyDescent="0.3">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row>
    <row r="21" spans="1:75" x14ac:dyDescent="0.3">
      <c r="A21" s="2" t="s">
        <v>705</v>
      </c>
      <c r="AC21" s="25"/>
      <c r="AD21" s="25"/>
      <c r="AE21" s="25"/>
      <c r="AG21" s="51">
        <f ca="1">(AG16)/AG7</f>
        <v>831.01467541333568</v>
      </c>
      <c r="AH21" s="51">
        <f t="shared" ref="AH21:BW21" ca="1" si="10">(AH16)/AH7</f>
        <v>1016.5518250012525</v>
      </c>
      <c r="AI21" s="51">
        <f t="shared" ca="1" si="10"/>
        <v>1028.2609286636543</v>
      </c>
      <c r="AJ21" s="51">
        <f t="shared" ca="1" si="10"/>
        <v>1045.6559767069227</v>
      </c>
      <c r="AK21" s="51">
        <f t="shared" ca="1" si="10"/>
        <v>1007.8929384730865</v>
      </c>
      <c r="AL21" s="51">
        <f t="shared" ca="1" si="10"/>
        <v>1009.177217249696</v>
      </c>
      <c r="AM21" s="51">
        <f t="shared" ca="1" si="10"/>
        <v>911.87863825216311</v>
      </c>
      <c r="AN21" s="51">
        <f t="shared" ca="1" si="10"/>
        <v>772.67816740920489</v>
      </c>
      <c r="AO21" s="51">
        <f t="shared" ca="1" si="10"/>
        <v>681.57174322864796</v>
      </c>
      <c r="AP21" s="51">
        <f t="shared" ca="1" si="10"/>
        <v>607.49111572379843</v>
      </c>
      <c r="AQ21" s="51">
        <f t="shared" ca="1" si="10"/>
        <v>545.66686250696921</v>
      </c>
      <c r="AR21" s="51">
        <f t="shared" ca="1" si="10"/>
        <v>484.12945280118271</v>
      </c>
      <c r="AS21" s="51">
        <f t="shared" ca="1" si="10"/>
        <v>423.24980582014052</v>
      </c>
      <c r="AT21" s="51">
        <f t="shared" ca="1" si="10"/>
        <v>371.68626009372417</v>
      </c>
      <c r="AU21" s="51">
        <f t="shared" ca="1" si="10"/>
        <v>334.29111625705639</v>
      </c>
      <c r="AV21" s="51">
        <f t="shared" ca="1" si="10"/>
        <v>302.193941510022</v>
      </c>
      <c r="AW21" s="51">
        <f t="shared" ca="1" si="10"/>
        <v>242.90877457187847</v>
      </c>
      <c r="AX21" s="51">
        <f t="shared" ca="1" si="10"/>
        <v>217.09249605478496</v>
      </c>
      <c r="AY21" s="51">
        <f t="shared" ca="1" si="10"/>
        <v>194.60317300504252</v>
      </c>
      <c r="AZ21" s="51">
        <f t="shared" ca="1" si="10"/>
        <v>173.62201858606227</v>
      </c>
      <c r="BA21" s="51">
        <f t="shared" ca="1" si="10"/>
        <v>157.30824706437463</v>
      </c>
      <c r="BB21" s="51">
        <f t="shared" ca="1" si="10"/>
        <v>139.41214447578903</v>
      </c>
      <c r="BC21" s="51">
        <f t="shared" ca="1" si="10"/>
        <v>128.86311670374954</v>
      </c>
      <c r="BD21" s="51">
        <f t="shared" ca="1" si="10"/>
        <v>120.50244364524215</v>
      </c>
      <c r="BE21" s="51">
        <f t="shared" ca="1" si="10"/>
        <v>113.39573569356379</v>
      </c>
      <c r="BF21" s="51">
        <f t="shared" ca="1" si="10"/>
        <v>101.357616201167</v>
      </c>
      <c r="BG21" s="51">
        <f t="shared" ca="1" si="10"/>
        <v>94.265141246844209</v>
      </c>
      <c r="BH21" s="51">
        <f t="shared" ca="1" si="10"/>
        <v>89.531359511108406</v>
      </c>
      <c r="BI21" s="51">
        <f t="shared" ca="1" si="10"/>
        <v>57.292214326938293</v>
      </c>
      <c r="BJ21" s="51">
        <f t="shared" ca="1" si="10"/>
        <v>0</v>
      </c>
      <c r="BK21" s="51">
        <f t="shared" ca="1" si="10"/>
        <v>0</v>
      </c>
      <c r="BL21" s="51">
        <f t="shared" ca="1" si="10"/>
        <v>0</v>
      </c>
      <c r="BM21" s="51">
        <f t="shared" ca="1" si="10"/>
        <v>0</v>
      </c>
      <c r="BN21" s="51">
        <f t="shared" ca="1" si="10"/>
        <v>0</v>
      </c>
      <c r="BO21" s="51">
        <f t="shared" ca="1" si="10"/>
        <v>0</v>
      </c>
      <c r="BP21" s="51">
        <f t="shared" ca="1" si="10"/>
        <v>0</v>
      </c>
      <c r="BQ21" s="51">
        <f t="shared" ca="1" si="10"/>
        <v>0</v>
      </c>
      <c r="BR21" s="51">
        <f t="shared" ca="1" si="10"/>
        <v>0</v>
      </c>
      <c r="BS21" s="51">
        <f t="shared" ca="1" si="10"/>
        <v>0</v>
      </c>
      <c r="BT21" s="51">
        <f t="shared" ca="1" si="10"/>
        <v>0</v>
      </c>
      <c r="BU21" s="51">
        <f t="shared" ca="1" si="10"/>
        <v>0</v>
      </c>
      <c r="BV21" s="51">
        <f t="shared" ca="1" si="10"/>
        <v>0</v>
      </c>
      <c r="BW21" s="51">
        <f t="shared" ca="1" si="10"/>
        <v>0</v>
      </c>
    </row>
    <row r="22" spans="1:75" x14ac:dyDescent="0.3">
      <c r="A22" s="4" t="s">
        <v>703</v>
      </c>
      <c r="G22" s="25"/>
      <c r="H22" s="25"/>
      <c r="I22" s="25"/>
      <c r="J22" s="25"/>
      <c r="K22" s="25"/>
      <c r="L22" s="25"/>
      <c r="M22" s="25"/>
      <c r="N22" s="25"/>
      <c r="O22" s="25"/>
      <c r="P22" s="25"/>
      <c r="Q22" s="25"/>
      <c r="R22" s="25"/>
      <c r="S22" s="25"/>
      <c r="T22" s="25"/>
      <c r="U22" s="25"/>
      <c r="V22" s="25"/>
      <c r="W22" s="25"/>
      <c r="X22" s="25"/>
      <c r="Y22" s="25"/>
      <c r="AC22" s="25"/>
      <c r="AD22" s="25"/>
      <c r="AE22" s="25"/>
      <c r="AG22" s="48">
        <f>(AG7-AF7)*AF21</f>
        <v>0</v>
      </c>
      <c r="AH22" s="48">
        <f t="shared" ref="AH22:BW22" ca="1" si="11">(AH7-AG7)*AG21</f>
        <v>55.927287655317791</v>
      </c>
      <c r="AI22" s="48">
        <f t="shared" ca="1" si="11"/>
        <v>40.662073000050135</v>
      </c>
      <c r="AJ22" s="48">
        <f t="shared" ca="1" si="11"/>
        <v>61.695655719818859</v>
      </c>
      <c r="AK22" s="48">
        <f t="shared" ca="1" si="11"/>
        <v>0</v>
      </c>
      <c r="AL22" s="48">
        <f t="shared" ca="1" si="11"/>
        <v>50.394646923655039</v>
      </c>
      <c r="AM22" s="48">
        <f t="shared" ca="1" si="11"/>
        <v>50.953555576823156</v>
      </c>
      <c r="AN22" s="48">
        <f t="shared" ca="1" si="11"/>
        <v>46.492312923958501</v>
      </c>
      <c r="AO22" s="48">
        <f t="shared" ca="1" si="11"/>
        <v>39.781376310702449</v>
      </c>
      <c r="AP22" s="48">
        <f t="shared" ca="1" si="11"/>
        <v>35.434784275575126</v>
      </c>
      <c r="AQ22" s="48">
        <f t="shared" ca="1" si="11"/>
        <v>31.892987306047946</v>
      </c>
      <c r="AR22" s="48">
        <f t="shared" ca="1" si="11"/>
        <v>28.928099498385535</v>
      </c>
      <c r="AS22" s="48">
        <f t="shared" ca="1" si="11"/>
        <v>25.91736705051375</v>
      </c>
      <c r="AT22" s="48">
        <f t="shared" ca="1" si="11"/>
        <v>22.880378020249644</v>
      </c>
      <c r="AU22" s="48">
        <f t="shared" ca="1" si="11"/>
        <v>20.289903799131395</v>
      </c>
      <c r="AV22" s="48">
        <f t="shared" ca="1" si="11"/>
        <v>18.427455418910739</v>
      </c>
      <c r="AW22" s="48">
        <f t="shared" ca="1" si="11"/>
        <v>16.821446548383946</v>
      </c>
      <c r="AX22" s="48">
        <f t="shared" ca="1" si="11"/>
        <v>13.653935367103125</v>
      </c>
      <c r="AY22" s="48">
        <f t="shared" ca="1" si="11"/>
        <v>12.322434111286473</v>
      </c>
      <c r="AZ22" s="48">
        <f t="shared" ca="1" si="11"/>
        <v>11.154206045285218</v>
      </c>
      <c r="BA22" s="48">
        <f t="shared" ca="1" si="11"/>
        <v>10.049179405556185</v>
      </c>
      <c r="BB22" s="48">
        <f t="shared" ca="1" si="11"/>
        <v>9.194208391428587</v>
      </c>
      <c r="BC22" s="48">
        <f t="shared" ca="1" si="11"/>
        <v>8.2281180140932513</v>
      </c>
      <c r="BD22" s="48">
        <f t="shared" ca="1" si="11"/>
        <v>7.680077249394766</v>
      </c>
      <c r="BE22" s="48">
        <f t="shared" ca="1" si="11"/>
        <v>7.2522015319210418</v>
      </c>
      <c r="BF22" s="48">
        <f t="shared" ca="1" si="11"/>
        <v>6.8914051989338132</v>
      </c>
      <c r="BG22" s="48">
        <f t="shared" ca="1" si="11"/>
        <v>6.2202022225923947</v>
      </c>
      <c r="BH22" s="48">
        <f t="shared" ca="1" si="11"/>
        <v>5.8416602072513424</v>
      </c>
      <c r="BI22" s="48">
        <f t="shared" ca="1" si="11"/>
        <v>5.6027004218484082</v>
      </c>
      <c r="BJ22" s="48">
        <f t="shared" ca="1" si="11"/>
        <v>3.6203860507416015</v>
      </c>
      <c r="BK22" s="48">
        <f t="shared" ca="1" si="11"/>
        <v>0</v>
      </c>
      <c r="BL22" s="48">
        <f t="shared" ca="1" si="11"/>
        <v>0</v>
      </c>
      <c r="BM22" s="48">
        <f t="shared" ca="1" si="11"/>
        <v>0</v>
      </c>
      <c r="BN22" s="48">
        <f t="shared" ca="1" si="11"/>
        <v>0</v>
      </c>
      <c r="BO22" s="48">
        <f t="shared" ca="1" si="11"/>
        <v>0</v>
      </c>
      <c r="BP22" s="48">
        <f t="shared" ca="1" si="11"/>
        <v>0</v>
      </c>
      <c r="BQ22" s="48">
        <f t="shared" ca="1" si="11"/>
        <v>0</v>
      </c>
      <c r="BR22" s="48">
        <f t="shared" ca="1" si="11"/>
        <v>0</v>
      </c>
      <c r="BS22" s="48">
        <f t="shared" ca="1" si="11"/>
        <v>0</v>
      </c>
      <c r="BT22" s="48">
        <f t="shared" ca="1" si="11"/>
        <v>0</v>
      </c>
      <c r="BU22" s="48">
        <f t="shared" ca="1" si="11"/>
        <v>0</v>
      </c>
      <c r="BV22" s="48">
        <f t="shared" ca="1" si="11"/>
        <v>0</v>
      </c>
      <c r="BW22" s="48">
        <f t="shared" ca="1" si="11"/>
        <v>0</v>
      </c>
    </row>
    <row r="23" spans="1:75" x14ac:dyDescent="0.3">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33"/>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row>
    <row r="24" spans="1:75" s="207" customFormat="1" ht="13.8" x14ac:dyDescent="0.3">
      <c r="A24" s="207" t="s">
        <v>101</v>
      </c>
    </row>
    <row r="25" spans="1:75" s="23" customFormat="1" ht="13.8" x14ac:dyDescent="0.3"/>
    <row r="26" spans="1:75" x14ac:dyDescent="0.3">
      <c r="A26" s="7" t="s">
        <v>511</v>
      </c>
      <c r="B26" s="4"/>
      <c r="C26" s="4"/>
      <c r="D26" s="4"/>
      <c r="E26" s="4"/>
      <c r="F26" s="4"/>
      <c r="G26" s="48">
        <f>G35-G16</f>
        <v>-529.8180000000001</v>
      </c>
      <c r="H26" s="23"/>
      <c r="I26" s="23"/>
      <c r="J26" s="23"/>
      <c r="K26" s="23"/>
      <c r="L26" s="48">
        <f>L35-L16</f>
        <v>907.65600000000006</v>
      </c>
      <c r="M26" s="23"/>
      <c r="N26" s="23"/>
      <c r="O26" s="23"/>
      <c r="P26" s="23"/>
      <c r="Q26" s="48">
        <f>Q35-Q16</f>
        <v>1027.6569999999997</v>
      </c>
      <c r="R26" s="23"/>
      <c r="S26" s="23"/>
      <c r="T26" s="23"/>
      <c r="U26" s="23"/>
      <c r="V26" s="48">
        <f>V35-V16</f>
        <v>2337.3029999999999</v>
      </c>
      <c r="W26" s="23"/>
      <c r="X26" s="23"/>
      <c r="Y26" s="23"/>
      <c r="Z26" s="23"/>
      <c r="AA26" s="48">
        <f>AA35-AA16</f>
        <v>-1980.8729999999996</v>
      </c>
      <c r="AB26" s="48">
        <f>AB35-AB16</f>
        <v>8348.6570000000011</v>
      </c>
      <c r="AC26" s="48">
        <f>('Balanço Planilhado'!AC47+'Balanço Planilhado'!AC52-'Balanço Planilhado'!AC17)/1000</f>
        <v>7288.4790000000003</v>
      </c>
      <c r="AD26" s="48">
        <f>('Balanço Planilhado'!AD47+'Balanço Planilhado'!AD52-'Balanço Planilhado'!AD17)/1000</f>
        <v>6195.2889999999998</v>
      </c>
      <c r="AE26" s="48">
        <f t="shared" ref="AE26:BW26" si="12">AE35-AE16</f>
        <v>5057.7610000000004</v>
      </c>
      <c r="AF26" s="48">
        <f t="shared" si="12"/>
        <v>5057.7610000000004</v>
      </c>
      <c r="AG26" s="48">
        <f ca="1">AG35-AG16</f>
        <v>2129.9007105886394</v>
      </c>
      <c r="AH26" s="48">
        <f t="shared" ca="1" si="12"/>
        <v>-228.71232500626229</v>
      </c>
      <c r="AI26" s="48">
        <f t="shared" ca="1" si="12"/>
        <v>-3478.3882804648183</v>
      </c>
      <c r="AJ26" s="48">
        <f t="shared" ca="1" si="12"/>
        <v>-4383.5986812053061</v>
      </c>
      <c r="AK26" s="48">
        <f t="shared" ca="1" si="12"/>
        <v>-5140.2539862127405</v>
      </c>
      <c r="AL26" s="48">
        <f t="shared" ca="1" si="12"/>
        <v>-5197.2626688359351</v>
      </c>
      <c r="AM26" s="48">
        <f t="shared" ca="1" si="12"/>
        <v>-4742.2159182437254</v>
      </c>
      <c r="AN26" s="48">
        <f t="shared" ca="1" si="12"/>
        <v>-4057.7003836916497</v>
      </c>
      <c r="AO26" s="48">
        <f t="shared" ca="1" si="12"/>
        <v>-3614.3479961086859</v>
      </c>
      <c r="AP26" s="48">
        <f t="shared" ca="1" si="12"/>
        <v>-3253.0847052169106</v>
      </c>
      <c r="AQ26" s="48">
        <f t="shared" ca="1" si="12"/>
        <v>-2950.666148835277</v>
      </c>
      <c r="AR26" s="48">
        <f t="shared" ca="1" si="12"/>
        <v>-2643.5714391524075</v>
      </c>
      <c r="AS26" s="48">
        <f t="shared" ca="1" si="12"/>
        <v>-2333.7985580654699</v>
      </c>
      <c r="AT26" s="48">
        <f t="shared" ca="1" si="12"/>
        <v>-2069.5701875114141</v>
      </c>
      <c r="AU26" s="48">
        <f t="shared" ca="1" si="12"/>
        <v>-1879.6004527289012</v>
      </c>
      <c r="AV26" s="48">
        <f t="shared" ca="1" si="12"/>
        <v>-1715.787547935181</v>
      </c>
      <c r="AW26" s="48">
        <f t="shared" ca="1" si="12"/>
        <v>-1392.701407444529</v>
      </c>
      <c r="AX26" s="48">
        <f t="shared" ca="1" si="12"/>
        <v>-1256.888279351213</v>
      </c>
      <c r="AY26" s="48">
        <f t="shared" ca="1" si="12"/>
        <v>-1137.7290166190994</v>
      </c>
      <c r="AZ26" s="48">
        <f t="shared" ca="1" si="12"/>
        <v>-1025.0162993667234</v>
      </c>
      <c r="BA26" s="48">
        <f t="shared" ca="1" si="12"/>
        <v>-937.80925592571054</v>
      </c>
      <c r="BB26" s="48">
        <f t="shared" ca="1" si="12"/>
        <v>-839.26803743751702</v>
      </c>
      <c r="BC26" s="48">
        <f t="shared" ca="1" si="12"/>
        <v>-783.36787943826516</v>
      </c>
      <c r="BD26" s="48">
        <f t="shared" ca="1" si="12"/>
        <v>-739.72455625594125</v>
      </c>
      <c r="BE26" s="48">
        <f t="shared" ca="1" si="12"/>
        <v>-702.92333029125302</v>
      </c>
      <c r="BF26" s="48">
        <f t="shared" ca="1" si="12"/>
        <v>-634.46062670441984</v>
      </c>
      <c r="BG26" s="48">
        <f t="shared" ca="1" si="12"/>
        <v>-595.84934113964175</v>
      </c>
      <c r="BH26" s="48">
        <f t="shared" ca="1" si="12"/>
        <v>-571.4754430285326</v>
      </c>
      <c r="BI26" s="48">
        <f t="shared" ca="1" si="12"/>
        <v>-369.27937717564498</v>
      </c>
      <c r="BJ26" s="48">
        <f t="shared" ca="1" si="12"/>
        <v>0</v>
      </c>
      <c r="BK26" s="48">
        <f t="shared" ca="1" si="12"/>
        <v>0</v>
      </c>
      <c r="BL26" s="48">
        <f t="shared" ca="1" si="12"/>
        <v>0</v>
      </c>
      <c r="BM26" s="48">
        <f t="shared" ca="1" si="12"/>
        <v>0</v>
      </c>
      <c r="BN26" s="48">
        <f t="shared" ca="1" si="12"/>
        <v>0</v>
      </c>
      <c r="BO26" s="48">
        <f t="shared" ca="1" si="12"/>
        <v>0</v>
      </c>
      <c r="BP26" s="48">
        <f t="shared" ca="1" si="12"/>
        <v>0</v>
      </c>
      <c r="BQ26" s="48">
        <f t="shared" ca="1" si="12"/>
        <v>0</v>
      </c>
      <c r="BR26" s="48">
        <f t="shared" ca="1" si="12"/>
        <v>0</v>
      </c>
      <c r="BS26" s="48">
        <f t="shared" ca="1" si="12"/>
        <v>0</v>
      </c>
      <c r="BT26" s="48">
        <f t="shared" ca="1" si="12"/>
        <v>0</v>
      </c>
      <c r="BU26" s="48">
        <f t="shared" ca="1" si="12"/>
        <v>0</v>
      </c>
      <c r="BV26" s="48">
        <f t="shared" ca="1" si="12"/>
        <v>0</v>
      </c>
      <c r="BW26" s="48">
        <f t="shared" ca="1" si="12"/>
        <v>0</v>
      </c>
    </row>
    <row r="27" spans="1:75" x14ac:dyDescent="0.3">
      <c r="A27" s="7" t="s">
        <v>100</v>
      </c>
      <c r="B27" s="7"/>
      <c r="C27" s="7"/>
      <c r="D27" s="7"/>
      <c r="E27" s="7"/>
      <c r="F27" s="7"/>
      <c r="G27" s="25"/>
      <c r="H27" s="25"/>
      <c r="I27" s="25"/>
      <c r="J27" s="25"/>
      <c r="K27" s="25"/>
      <c r="L27" s="51">
        <f>L26-G26</f>
        <v>1437.4740000000002</v>
      </c>
      <c r="M27" s="23"/>
      <c r="N27" s="23"/>
      <c r="O27" s="23"/>
      <c r="P27" s="23"/>
      <c r="Q27" s="51">
        <f>Q26-L26</f>
        <v>120.00099999999964</v>
      </c>
      <c r="R27" s="23"/>
      <c r="S27" s="23"/>
      <c r="T27" s="23"/>
      <c r="U27" s="23"/>
      <c r="V27" s="51">
        <f>V26-Q26</f>
        <v>1309.6460000000002</v>
      </c>
      <c r="W27" s="23"/>
      <c r="X27" s="23"/>
      <c r="Y27" s="23"/>
      <c r="Z27" s="23"/>
      <c r="AA27" s="23"/>
      <c r="AB27" s="51">
        <f>AB26-AA26</f>
        <v>10329.530000000001</v>
      </c>
      <c r="AC27" s="51">
        <f>AC26-AB26</f>
        <v>-1060.1780000000008</v>
      </c>
      <c r="AD27" s="51">
        <f>AD26-AC26</f>
        <v>-1093.1900000000005</v>
      </c>
      <c r="AE27" s="51">
        <f>AE26-AD26</f>
        <v>-1137.5279999999993</v>
      </c>
      <c r="AF27" s="51">
        <f>AF26-AA26</f>
        <v>7038.634</v>
      </c>
      <c r="AG27" s="51">
        <f t="shared" ref="AG27:AH27" ca="1" si="13">AG26-AF26</f>
        <v>-2927.860289411361</v>
      </c>
      <c r="AH27" s="51">
        <f t="shared" ca="1" si="13"/>
        <v>-2358.6130355949017</v>
      </c>
      <c r="AI27" s="51">
        <f t="shared" ref="AI27" ca="1" si="14">AI26-AH26</f>
        <v>-3249.675955458556</v>
      </c>
      <c r="AJ27" s="51">
        <f t="shared" ref="AJ27" ca="1" si="15">AJ26-AI26</f>
        <v>-905.21040074048778</v>
      </c>
      <c r="AK27" s="51">
        <f t="shared" ref="AK27" ca="1" si="16">AK26-AJ26</f>
        <v>-756.65530500743444</v>
      </c>
      <c r="AL27" s="51">
        <f t="shared" ref="AL27" ca="1" si="17">AL26-AK26</f>
        <v>-57.008682623194545</v>
      </c>
      <c r="AM27" s="51">
        <f t="shared" ref="AM27" ca="1" si="18">AM26-AL26</f>
        <v>455.04675059220972</v>
      </c>
      <c r="AN27" s="51">
        <f t="shared" ref="AN27" ca="1" si="19">AN26-AM26</f>
        <v>684.51553455207568</v>
      </c>
      <c r="AO27" s="51">
        <f t="shared" ref="AO27" ca="1" si="20">AO26-AN26</f>
        <v>443.35238758296373</v>
      </c>
      <c r="AP27" s="51">
        <f t="shared" ref="AP27" ca="1" si="21">AP26-AO26</f>
        <v>361.26329089177534</v>
      </c>
      <c r="AQ27" s="51">
        <f t="shared" ref="AQ27" ca="1" si="22">AQ26-AP26</f>
        <v>302.41855638163361</v>
      </c>
      <c r="AR27" s="51">
        <f t="shared" ref="AR27" ca="1" si="23">AR26-AQ26</f>
        <v>307.09470968286951</v>
      </c>
      <c r="AS27" s="51">
        <f t="shared" ref="AS27" ca="1" si="24">AS26-AR26</f>
        <v>309.77288108693756</v>
      </c>
      <c r="AT27" s="51">
        <f t="shared" ref="AT27" ca="1" si="25">AT26-AS26</f>
        <v>264.2283705540558</v>
      </c>
      <c r="AU27" s="51">
        <f t="shared" ref="AU27" ca="1" si="26">AU26-AT26</f>
        <v>189.96973478251289</v>
      </c>
      <c r="AV27" s="51">
        <f t="shared" ref="AV27" ca="1" si="27">AV26-AU26</f>
        <v>163.81290479372024</v>
      </c>
      <c r="AW27" s="51">
        <f t="shared" ref="AW27" ca="1" si="28">AW26-AV26</f>
        <v>323.08614049065204</v>
      </c>
      <c r="AX27" s="51">
        <f t="shared" ref="AX27" ca="1" si="29">AX26-AW26</f>
        <v>135.81312809331598</v>
      </c>
      <c r="AY27" s="51">
        <f t="shared" ref="AY27" ca="1" si="30">AY26-AX26</f>
        <v>119.15926273211358</v>
      </c>
      <c r="AZ27" s="51">
        <f t="shared" ref="AZ27" ca="1" si="31">AZ26-AY26</f>
        <v>112.71271725237602</v>
      </c>
      <c r="BA27" s="51">
        <f t="shared" ref="BA27" ca="1" si="32">BA26-AZ26</f>
        <v>87.207043441012843</v>
      </c>
      <c r="BB27" s="51">
        <f t="shared" ref="BB27" ca="1" si="33">BB26-BA26</f>
        <v>98.541218488193522</v>
      </c>
      <c r="BC27" s="51">
        <f t="shared" ref="BC27" ca="1" si="34">BC26-BB26</f>
        <v>55.90015799925186</v>
      </c>
      <c r="BD27" s="51">
        <f t="shared" ref="BD27" ca="1" si="35">BD26-BC26</f>
        <v>43.643323182323911</v>
      </c>
      <c r="BE27" s="51">
        <f t="shared" ref="BE27" ca="1" si="36">BE26-BD26</f>
        <v>36.801225964688228</v>
      </c>
      <c r="BF27" s="51">
        <f t="shared" ref="BF27" ca="1" si="37">BF26-BE26</f>
        <v>68.462703586833186</v>
      </c>
      <c r="BG27" s="51">
        <f t="shared" ref="BG27" ca="1" si="38">BG26-BF26</f>
        <v>38.611285564778086</v>
      </c>
      <c r="BH27" s="51">
        <f t="shared" ref="BH27" ca="1" si="39">BH26-BG26</f>
        <v>24.373898111109156</v>
      </c>
      <c r="BI27" s="51">
        <f t="shared" ref="BI27" ca="1" si="40">BI26-BH26</f>
        <v>202.19606585288761</v>
      </c>
      <c r="BJ27" s="51">
        <f t="shared" ref="BJ27" ca="1" si="41">BJ26-BI26</f>
        <v>369.27937717564498</v>
      </c>
      <c r="BK27" s="51">
        <f t="shared" ref="BK27" ca="1" si="42">BK26-BJ26</f>
        <v>0</v>
      </c>
      <c r="BL27" s="51">
        <f t="shared" ref="BL27" ca="1" si="43">BL26-BK26</f>
        <v>0</v>
      </c>
      <c r="BM27" s="51">
        <f t="shared" ref="BM27" ca="1" si="44">BM26-BL26</f>
        <v>0</v>
      </c>
      <c r="BN27" s="51">
        <f t="shared" ref="BN27" ca="1" si="45">BN26-BM26</f>
        <v>0</v>
      </c>
      <c r="BO27" s="51">
        <f t="shared" ref="BO27" ca="1" si="46">BO26-BN26</f>
        <v>0</v>
      </c>
      <c r="BP27" s="51">
        <f t="shared" ref="BP27" ca="1" si="47">BP26-BO26</f>
        <v>0</v>
      </c>
      <c r="BQ27" s="51">
        <f t="shared" ref="BQ27" ca="1" si="48">BQ26-BP26</f>
        <v>0</v>
      </c>
      <c r="BR27" s="51">
        <f t="shared" ref="BR27" ca="1" si="49">BR26-BQ26</f>
        <v>0</v>
      </c>
      <c r="BS27" s="51">
        <f t="shared" ref="BS27" ca="1" si="50">BS26-BR26</f>
        <v>0</v>
      </c>
      <c r="BT27" s="51">
        <f t="shared" ref="BT27" ca="1" si="51">BT26-BS26</f>
        <v>0</v>
      </c>
      <c r="BU27" s="51">
        <f t="shared" ref="BU27" ca="1" si="52">BU26-BT26</f>
        <v>0</v>
      </c>
      <c r="BV27" s="51">
        <f t="shared" ref="BV27" ca="1" si="53">BV26-BU26</f>
        <v>0</v>
      </c>
      <c r="BW27" s="51">
        <f t="shared" ref="BW27" ca="1" si="54">BW26-BV26</f>
        <v>0</v>
      </c>
    </row>
    <row r="28" spans="1:75" x14ac:dyDescent="0.3">
      <c r="A28" s="7" t="s">
        <v>288</v>
      </c>
      <c r="B28" s="90"/>
      <c r="C28" s="90"/>
      <c r="D28" s="90"/>
      <c r="E28" s="90"/>
      <c r="F28" s="90"/>
      <c r="G28" s="48">
        <f>'Fluxo de Caixa dos Acionistas'!G67/1000</f>
        <v>242.762</v>
      </c>
      <c r="H28" s="90"/>
      <c r="I28" s="90"/>
      <c r="J28" s="90"/>
      <c r="K28" s="90"/>
      <c r="L28" s="48">
        <f>'Fluxo de Caixa dos Acionistas'!L67/1000</f>
        <v>1387.2139999999999</v>
      </c>
      <c r="M28" s="90"/>
      <c r="N28" s="90"/>
      <c r="O28" s="90"/>
      <c r="P28" s="90"/>
      <c r="Q28" s="48">
        <f>'Fluxo de Caixa dos Acionistas'!Q67/1000</f>
        <v>1786.549</v>
      </c>
      <c r="R28" s="90"/>
      <c r="S28" s="90"/>
      <c r="T28" s="90"/>
      <c r="U28" s="90"/>
      <c r="V28" s="48">
        <f>'Fluxo de Caixa dos Acionistas'!V67/1000</f>
        <v>3002.7139999999999</v>
      </c>
      <c r="W28" s="90"/>
      <c r="X28" s="90"/>
      <c r="Y28" s="90"/>
      <c r="Z28" s="90"/>
      <c r="AA28" s="48">
        <f>'Fluxo de Caixa dos Acionistas'!AA67/1000</f>
        <v>4770.4690000000001</v>
      </c>
      <c r="AB28" s="48">
        <f>'Fluxo de Caixa dos Acionistas'!AB67/1000</f>
        <v>5458.2870000000003</v>
      </c>
      <c r="AC28" s="48">
        <f>'Fluxo de Caixa dos Acionistas'!AC67/1000</f>
        <v>5951.1769999999997</v>
      </c>
      <c r="AD28" s="48">
        <f>'Fluxo de Caixa dos Acionistas'!AD67/1000</f>
        <v>7487.0280000000002</v>
      </c>
      <c r="AE28" s="48">
        <f>'Fluxo de Caixa dos Acionistas'!AE67/1000</f>
        <v>9210.4470000000001</v>
      </c>
      <c r="AF28" s="48">
        <f>'Fluxo de Caixa dos Acionistas'!AF67/1000</f>
        <v>9210.4470000000001</v>
      </c>
      <c r="AG28" s="48">
        <f ca="1">'Fluxo de Caixa dos Acionistas'!AG67/1000</f>
        <v>11787.316848519775</v>
      </c>
      <c r="AH28" s="48">
        <f ca="1">'Fluxo de Caixa dos Acionistas'!AH65/1000</f>
        <v>14564.04939641758</v>
      </c>
      <c r="AI28" s="48">
        <f ca="1">'Fluxo de Caixa dos Acionistas'!AI65/1000</f>
        <v>14557.673520498656</v>
      </c>
      <c r="AJ28" s="48">
        <f ca="1">'Fluxo de Caixa dos Acionistas'!AJ65/1000</f>
        <v>14656.048681605906</v>
      </c>
      <c r="AK28" s="48">
        <f ca="1">'Fluxo de Caixa dos Acionistas'!AK65/1000</f>
        <v>13850.640010873307</v>
      </c>
      <c r="AL28" s="48">
        <f ca="1">'Fluxo de Caixa dos Acionistas'!AL65/1000</f>
        <v>13780.550639400324</v>
      </c>
      <c r="AM28" s="48">
        <f ca="1">'Fluxo de Caixa dos Acionistas'!AM65/1000</f>
        <v>12514.982847129399</v>
      </c>
      <c r="AN28" s="48">
        <f ca="1">'Fluxo de Caixa dos Acionistas'!AN65/1000</f>
        <v>10714.651036092888</v>
      </c>
      <c r="AO28" s="48">
        <f ca="1">'Fluxo de Caixa dos Acionistas'!AO65/1000</f>
        <v>9524.0850491440451</v>
      </c>
      <c r="AP28" s="48">
        <f ca="1">'Fluxo de Caixa dos Acionistas'!AP65/1000</f>
        <v>8317.0766037204485</v>
      </c>
      <c r="AQ28" s="48">
        <f ca="1">'Fluxo de Caixa dos Acionistas'!AQ65/1000</f>
        <v>7477.1934812285544</v>
      </c>
      <c r="AR28" s="48">
        <f ca="1">'Fluxo de Caixa dos Acionistas'!AR65/1000</f>
        <v>6583.4126823705383</v>
      </c>
      <c r="AS28" s="48">
        <f ca="1">'Fluxo de Caixa dos Acionistas'!AS65/1000</f>
        <v>5686.2907604842703</v>
      </c>
      <c r="AT28" s="48">
        <f ca="1">'Fluxo de Caixa dos Acionistas'!AT65/1000</f>
        <v>4915.0221476734951</v>
      </c>
      <c r="AU28" s="48">
        <f ca="1">'Fluxo de Caixa dos Acionistas'!AU65/1000</f>
        <v>4449.0464355369622</v>
      </c>
      <c r="AV28" s="48">
        <f ca="1">'Fluxo de Caixa dos Acionistas'!AV65/1000</f>
        <v>4108.11912111534</v>
      </c>
      <c r="AW28" s="48">
        <f ca="1">'Fluxo de Caixa dos Acionistas'!AW65/1000</f>
        <v>3384.6638044762694</v>
      </c>
      <c r="AX28" s="48">
        <f ca="1">'Fluxo de Caixa dos Acionistas'!AX65/1000</f>
        <v>3084.3759110359956</v>
      </c>
      <c r="AY28" s="48">
        <f ca="1">'Fluxo de Caixa dos Acionistas'!AY65/1000</f>
        <v>2821.9861666287388</v>
      </c>
      <c r="AZ28" s="48">
        <f ca="1">'Fluxo de Caixa dos Acionistas'!AZ65/1000</f>
        <v>2574.4509884939184</v>
      </c>
      <c r="BA28" s="48">
        <f ca="1">'Fluxo de Caixa dos Acionistas'!BA65/1000</f>
        <v>2384.7829894719998</v>
      </c>
      <c r="BB28" s="48">
        <f ca="1">'Fluxo de Caixa dos Acionistas'!BB65/1000</f>
        <v>2169.7347631856037</v>
      </c>
      <c r="BC28" s="48">
        <f ca="1">'Fluxo de Caixa dos Acionistas'!BC65/1000</f>
        <v>2051.2638102237652</v>
      </c>
      <c r="BD28" s="48">
        <f ca="1">'Fluxo de Caixa dos Acionistas'!BD65/1000</f>
        <v>1960.7878179901306</v>
      </c>
      <c r="BE28" s="48">
        <f ca="1">'Fluxo de Caixa dos Acionistas'!BE65/1000</f>
        <v>1885.9199810640789</v>
      </c>
      <c r="BF28" s="48">
        <f ca="1">'Fluxo de Caixa dos Acionistas'!BF65/1000</f>
        <v>1739.8191094550314</v>
      </c>
      <c r="BG28" s="48">
        <f ca="1">'Fluxo de Caixa dos Acionistas'!BG65/1000</f>
        <v>1661.718915767284</v>
      </c>
      <c r="BH28" s="48">
        <f ca="1">'Fluxo de Caixa dos Acionistas'!BH65/1000</f>
        <v>1616.1100614239042</v>
      </c>
      <c r="BI28" s="48">
        <f ca="1">'Fluxo de Caixa dos Acionistas'!BI65/1000</f>
        <v>1168.1178862675765</v>
      </c>
      <c r="BJ28" s="48">
        <f ca="1">'Fluxo de Caixa dos Acionistas'!BJ65/1000</f>
        <v>0</v>
      </c>
      <c r="BK28" s="48">
        <f ca="1">'Fluxo de Caixa dos Acionistas'!BK65/1000</f>
        <v>0</v>
      </c>
      <c r="BL28" s="48">
        <f ca="1">'Fluxo de Caixa dos Acionistas'!BL65/1000</f>
        <v>0</v>
      </c>
      <c r="BM28" s="48">
        <f ca="1">'Fluxo de Caixa dos Acionistas'!BM65/1000</f>
        <v>0</v>
      </c>
      <c r="BN28" s="48">
        <f ca="1">'Fluxo de Caixa dos Acionistas'!BN65/1000</f>
        <v>0</v>
      </c>
      <c r="BO28" s="48">
        <f ca="1">'Fluxo de Caixa dos Acionistas'!BO65/1000</f>
        <v>0</v>
      </c>
      <c r="BP28" s="48">
        <f ca="1">'Fluxo de Caixa dos Acionistas'!BP65/1000</f>
        <v>0</v>
      </c>
      <c r="BQ28" s="48">
        <f ca="1">'Fluxo de Caixa dos Acionistas'!BQ65/1000</f>
        <v>0</v>
      </c>
      <c r="BR28" s="48">
        <f ca="1">'Fluxo de Caixa dos Acionistas'!BR65/1000</f>
        <v>0</v>
      </c>
      <c r="BS28" s="48">
        <f ca="1">'Fluxo de Caixa dos Acionistas'!BS65/1000</f>
        <v>0</v>
      </c>
      <c r="BT28" s="48">
        <f ca="1">'Fluxo de Caixa dos Acionistas'!BT65/1000</f>
        <v>0</v>
      </c>
      <c r="BU28" s="48">
        <f ca="1">'Fluxo de Caixa dos Acionistas'!BU65/1000</f>
        <v>0</v>
      </c>
      <c r="BV28" s="48">
        <f ca="1">'Fluxo de Caixa dos Acionistas'!BV65/1000</f>
        <v>0</v>
      </c>
      <c r="BW28" s="48">
        <f ca="1">'Fluxo de Caixa dos Acionistas'!BW65/1000</f>
        <v>0</v>
      </c>
    </row>
    <row r="29" spans="1:75" s="25" customFormat="1" x14ac:dyDescent="0.3">
      <c r="A29" s="7" t="s">
        <v>510</v>
      </c>
      <c r="G29" s="92">
        <f>G26/G28</f>
        <v>-2.1824585396396476</v>
      </c>
      <c r="L29" s="92">
        <f>L26/L28</f>
        <v>0.65430135509013032</v>
      </c>
      <c r="Q29" s="92">
        <f>Q26/Q28</f>
        <v>0.57521903961212351</v>
      </c>
      <c r="V29" s="92">
        <f>V26/V28</f>
        <v>0.77839681035223462</v>
      </c>
      <c r="Z29" s="90"/>
      <c r="AA29" s="92">
        <f t="shared" ref="AA29" si="55">AA26/AA28</f>
        <v>-0.41523653125091048</v>
      </c>
      <c r="AB29" s="92">
        <f t="shared" ref="AB29" si="56">AB26/AB28</f>
        <v>1.5295379301234986</v>
      </c>
      <c r="AC29" s="92">
        <f t="shared" ref="AC29" si="57">AC26/AC28</f>
        <v>1.2247121871858291</v>
      </c>
      <c r="AD29" s="92">
        <f t="shared" ref="AD29" si="58">AD26/AD28</f>
        <v>0.82746972496964077</v>
      </c>
      <c r="AE29" s="92">
        <f t="shared" ref="AE29:BW29" si="59">AE26/AE28</f>
        <v>0.54913306596303091</v>
      </c>
      <c r="AF29" s="92">
        <f t="shared" si="59"/>
        <v>0.54913306596303091</v>
      </c>
      <c r="AG29" s="92">
        <f t="shared" ca="1" si="59"/>
        <v>0.18069427826198697</v>
      </c>
      <c r="AH29" s="92">
        <f t="shared" ca="1" si="59"/>
        <v>-1.5703896545593992E-2</v>
      </c>
      <c r="AI29" s="92">
        <f t="shared" ca="1" si="59"/>
        <v>-0.23893847293435319</v>
      </c>
      <c r="AJ29" s="92">
        <f t="shared" ca="1" si="59"/>
        <v>-0.29909826150529562</v>
      </c>
      <c r="AK29" s="92">
        <f t="shared" ca="1" si="59"/>
        <v>-0.37112032239502546</v>
      </c>
      <c r="AL29" s="92">
        <f t="shared" ca="1" si="59"/>
        <v>-0.37714477489573667</v>
      </c>
      <c r="AM29" s="92">
        <f t="shared" ca="1" si="59"/>
        <v>-0.37892308572611927</v>
      </c>
      <c r="AN29" s="92">
        <f t="shared" ca="1" si="59"/>
        <v>-0.37870578985942371</v>
      </c>
      <c r="AO29" s="92">
        <f t="shared" ca="1" si="59"/>
        <v>-0.37949556072407364</v>
      </c>
      <c r="AP29" s="92">
        <f t="shared" ca="1" si="59"/>
        <v>-0.39113319020792953</v>
      </c>
      <c r="AQ29" s="92">
        <f t="shared" ca="1" si="59"/>
        <v>-0.39462214749998181</v>
      </c>
      <c r="AR29" s="92">
        <f t="shared" ca="1" si="59"/>
        <v>-0.40155031542098574</v>
      </c>
      <c r="AS29" s="92">
        <f t="shared" ca="1" si="59"/>
        <v>-0.41042547002410285</v>
      </c>
      <c r="AT29" s="92">
        <f t="shared" ca="1" si="59"/>
        <v>-0.4210703686230664</v>
      </c>
      <c r="AU29" s="92">
        <f t="shared" ca="1" si="59"/>
        <v>-0.42247265340175066</v>
      </c>
      <c r="AV29" s="92">
        <f t="shared" ca="1" si="59"/>
        <v>-0.41765769135471192</v>
      </c>
      <c r="AW29" s="92">
        <f t="shared" ca="1" si="59"/>
        <v>-0.41147407479663423</v>
      </c>
      <c r="AX29" s="92">
        <f t="shared" ca="1" si="59"/>
        <v>-0.40750165206971906</v>
      </c>
      <c r="AY29" s="92">
        <f t="shared" ca="1" si="59"/>
        <v>-0.40316605023556068</v>
      </c>
      <c r="AZ29" s="92">
        <f t="shared" ca="1" si="59"/>
        <v>-0.39814947107086662</v>
      </c>
      <c r="BA29" s="92">
        <f t="shared" ca="1" si="59"/>
        <v>-0.39324720952213144</v>
      </c>
      <c r="BB29" s="92">
        <f t="shared" ca="1" si="59"/>
        <v>-0.3868067432377329</v>
      </c>
      <c r="BC29" s="92">
        <f t="shared" ca="1" si="59"/>
        <v>-0.38189523723562907</v>
      </c>
      <c r="BD29" s="92">
        <f t="shared" ca="1" si="59"/>
        <v>-0.37725884946295835</v>
      </c>
      <c r="BE29" s="92">
        <f t="shared" ca="1" si="59"/>
        <v>-0.37272171531617565</v>
      </c>
      <c r="BF29" s="92">
        <f t="shared" ca="1" si="59"/>
        <v>-0.36467045525391073</v>
      </c>
      <c r="BG29" s="92">
        <f t="shared" ca="1" si="59"/>
        <v>-0.35857408583720285</v>
      </c>
      <c r="BH29" s="92">
        <f t="shared" ca="1" si="59"/>
        <v>-0.35361171040852463</v>
      </c>
      <c r="BI29" s="92">
        <f t="shared" ca="1" si="59"/>
        <v>-0.31613194311713116</v>
      </c>
      <c r="BJ29" s="92" t="e">
        <f t="shared" ca="1" si="59"/>
        <v>#DIV/0!</v>
      </c>
      <c r="BK29" s="92" t="e">
        <f t="shared" ca="1" si="59"/>
        <v>#DIV/0!</v>
      </c>
      <c r="BL29" s="92" t="e">
        <f t="shared" ca="1" si="59"/>
        <v>#DIV/0!</v>
      </c>
      <c r="BM29" s="92" t="e">
        <f t="shared" ca="1" si="59"/>
        <v>#DIV/0!</v>
      </c>
      <c r="BN29" s="92" t="e">
        <f t="shared" ca="1" si="59"/>
        <v>#DIV/0!</v>
      </c>
      <c r="BO29" s="92" t="e">
        <f t="shared" ca="1" si="59"/>
        <v>#DIV/0!</v>
      </c>
      <c r="BP29" s="92" t="e">
        <f t="shared" ca="1" si="59"/>
        <v>#DIV/0!</v>
      </c>
      <c r="BQ29" s="92" t="e">
        <f t="shared" ca="1" si="59"/>
        <v>#DIV/0!</v>
      </c>
      <c r="BR29" s="92" t="e">
        <f t="shared" ca="1" si="59"/>
        <v>#DIV/0!</v>
      </c>
      <c r="BS29" s="92" t="e">
        <f t="shared" ca="1" si="59"/>
        <v>#DIV/0!</v>
      </c>
      <c r="BT29" s="92" t="e">
        <f t="shared" ca="1" si="59"/>
        <v>#DIV/0!</v>
      </c>
      <c r="BU29" s="92" t="e">
        <f t="shared" ca="1" si="59"/>
        <v>#DIV/0!</v>
      </c>
      <c r="BV29" s="92" t="e">
        <f t="shared" ca="1" si="59"/>
        <v>#DIV/0!</v>
      </c>
      <c r="BW29" s="92" t="e">
        <f t="shared" ca="1" si="59"/>
        <v>#DIV/0!</v>
      </c>
    </row>
    <row r="30" spans="1:75" s="25" customFormat="1" x14ac:dyDescent="0.3">
      <c r="A30"/>
    </row>
    <row r="31" spans="1:75" s="25" customFormat="1" x14ac:dyDescent="0.3">
      <c r="A31" s="7" t="s">
        <v>392</v>
      </c>
      <c r="G31" s="69">
        <f>G35*1000/('Balanço Planilhado'!G15-'Balanço Planilhado'!G42-'Balanço Planilhado'!G51)</f>
        <v>0.28477846084298708</v>
      </c>
      <c r="L31" s="69">
        <f>L35*1000/('Balanço Planilhado'!L15-'Balanço Planilhado'!L42-'Balanço Planilhado'!L51)</f>
        <v>0.76004583619886557</v>
      </c>
      <c r="Q31" s="69">
        <f>Q35*1000/('Balanço Planilhado'!Q15-'Balanço Planilhado'!Q42-'Balanço Planilhado'!Q51)</f>
        <v>0.60601701603452318</v>
      </c>
      <c r="V31" s="69">
        <f>V35*1000/('Balanço Planilhado'!V15-'Balanço Planilhado'!V42-'Balanço Planilhado'!V51)</f>
        <v>0.49966715753440694</v>
      </c>
      <c r="AA31" s="69">
        <f>AA35*1000/('Balanço Planilhado'!AA57)</f>
        <v>0.77154012169611108</v>
      </c>
      <c r="AB31" s="69">
        <f>AB35*1000/('Balanço Planilhado'!AB57)</f>
        <v>0.83506126890059396</v>
      </c>
      <c r="AC31" s="69">
        <f>AC35*1000/('Balanço Planilhado'!AC57)</f>
        <v>0.78517946253485249</v>
      </c>
      <c r="AD31" s="69">
        <f>AD35*1000/('Balanço Planilhado'!AD57)</f>
        <v>0.65269979995510463</v>
      </c>
      <c r="AE31" s="69">
        <f>AE35*1000/('Balanço Planilhado'!AE57)</f>
        <v>0.53271471680928761</v>
      </c>
      <c r="AF31" s="69">
        <f>AF35*1000/('Balanço Planilhado'!AF57)</f>
        <v>0.53271471680928761</v>
      </c>
      <c r="AG31" s="69">
        <f ca="1">AG35*1000/('Balanço Planilhado'!AG57)</f>
        <v>0.32130197052542037</v>
      </c>
      <c r="AH31" s="69">
        <f ca="1">AH35*1000/('Balanço Planilhado'!AH57)</f>
        <v>0.21622434078895497</v>
      </c>
      <c r="AI31" s="69">
        <f ca="1">AI35*1000/('Balanço Planilhado'!AI57)</f>
        <v>6.795095439195005E-2</v>
      </c>
      <c r="AJ31" s="69">
        <f ca="1">AJ35*1000/('Balanço Planilhado'!AJ57)</f>
        <v>3.7615154144099244E-2</v>
      </c>
      <c r="AK31" s="69">
        <f ca="1">AK35*1000/('Balanço Planilhado'!AK57)</f>
        <v>0</v>
      </c>
      <c r="AL31" s="69">
        <f ca="1">AL35*1000/('Balanço Planilhado'!AL57)</f>
        <v>0</v>
      </c>
      <c r="AM31" s="69">
        <f ca="1">AM35*1000/('Balanço Planilhado'!AM57)</f>
        <v>0</v>
      </c>
      <c r="AN31" s="69">
        <f ca="1">AN35*1000/('Balanço Planilhado'!AN57)</f>
        <v>0</v>
      </c>
      <c r="AO31" s="69">
        <f ca="1">AO35*1000/('Balanço Planilhado'!AO57)</f>
        <v>0</v>
      </c>
      <c r="AP31" s="69">
        <f ca="1">AP35*1000/('Balanço Planilhado'!AP57)</f>
        <v>0</v>
      </c>
      <c r="AQ31" s="69">
        <f ca="1">AQ35*1000/('Balanço Planilhado'!AQ57)</f>
        <v>0</v>
      </c>
      <c r="AR31" s="69">
        <f ca="1">AR35*1000/('Balanço Planilhado'!AR57)</f>
        <v>0</v>
      </c>
      <c r="AS31" s="69">
        <f ca="1">AS35*1000/('Balanço Planilhado'!AS57)</f>
        <v>0</v>
      </c>
      <c r="AT31" s="69">
        <f ca="1">AT35*1000/('Balanço Planilhado'!AT57)</f>
        <v>0</v>
      </c>
      <c r="AU31" s="69">
        <f ca="1">AU35*1000/('Balanço Planilhado'!AU57)</f>
        <v>0</v>
      </c>
      <c r="AV31" s="69">
        <f ca="1">AV35*1000/('Balanço Planilhado'!AV57)</f>
        <v>0</v>
      </c>
      <c r="AW31" s="69">
        <f ca="1">AW35*1000/('Balanço Planilhado'!AW57)</f>
        <v>0</v>
      </c>
      <c r="AX31" s="69">
        <f ca="1">AX35*1000/('Balanço Planilhado'!AX57)</f>
        <v>0</v>
      </c>
      <c r="AY31" s="69">
        <f ca="1">AY35*1000/('Balanço Planilhado'!AY57)</f>
        <v>0</v>
      </c>
      <c r="AZ31" s="69">
        <f ca="1">AZ35*1000/('Balanço Planilhado'!AZ57)</f>
        <v>0</v>
      </c>
      <c r="BA31" s="69">
        <f ca="1">BA35*1000/('Balanço Planilhado'!BA57)</f>
        <v>0</v>
      </c>
      <c r="BB31" s="69">
        <f ca="1">BB35*1000/('Balanço Planilhado'!BB57)</f>
        <v>0</v>
      </c>
      <c r="BC31" s="69">
        <f ca="1">BC35*1000/('Balanço Planilhado'!BC57)</f>
        <v>0</v>
      </c>
      <c r="BD31" s="69">
        <f ca="1">BD35*1000/('Balanço Planilhado'!BD57)</f>
        <v>0</v>
      </c>
      <c r="BE31" s="69">
        <f ca="1">BE35*1000/('Balanço Planilhado'!BE57)</f>
        <v>0</v>
      </c>
      <c r="BF31" s="69">
        <f ca="1">BF35*1000/('Balanço Planilhado'!BF57)</f>
        <v>0</v>
      </c>
      <c r="BG31" s="69">
        <f ca="1">BG35*1000/('Balanço Planilhado'!BG57)</f>
        <v>0</v>
      </c>
      <c r="BH31" s="69">
        <f ca="1">BH35*1000/('Balanço Planilhado'!BH57)</f>
        <v>0</v>
      </c>
      <c r="BI31" s="69">
        <f ca="1">BI35*1000/('Balanço Planilhado'!BI57)</f>
        <v>0</v>
      </c>
      <c r="BJ31" s="69">
        <f ca="1">BJ35*1000/('Balanço Planilhado'!BJ57)</f>
        <v>0</v>
      </c>
      <c r="BK31" s="69">
        <f ca="1">BK35*1000/('Balanço Planilhado'!BK57)</f>
        <v>0</v>
      </c>
      <c r="BL31" s="69">
        <f ca="1">BL35*1000/('Balanço Planilhado'!BL57)</f>
        <v>0</v>
      </c>
      <c r="BM31" s="69">
        <f ca="1">BM35*1000/('Balanço Planilhado'!BM57)</f>
        <v>0</v>
      </c>
      <c r="BN31" s="69">
        <f ca="1">BN35*1000/('Balanço Planilhado'!BN57)</f>
        <v>0</v>
      </c>
      <c r="BO31" s="69">
        <f ca="1">BO35*1000/('Balanço Planilhado'!BO57)</f>
        <v>0</v>
      </c>
      <c r="BP31" s="69">
        <f ca="1">BP35*1000/('Balanço Planilhado'!BP57)</f>
        <v>0</v>
      </c>
      <c r="BQ31" s="69">
        <f ca="1">BQ35*1000/('Balanço Planilhado'!BQ57)</f>
        <v>0</v>
      </c>
      <c r="BR31" s="69">
        <f ca="1">BR35*1000/('Balanço Planilhado'!BR57)</f>
        <v>0</v>
      </c>
      <c r="BS31" s="69">
        <f ca="1">BS35*1000/('Balanço Planilhado'!BS57)</f>
        <v>0</v>
      </c>
      <c r="BT31" s="69">
        <f ca="1">BT35*1000/('Balanço Planilhado'!BT57)</f>
        <v>0</v>
      </c>
      <c r="BU31" s="69">
        <f ca="1">BU35*1000/('Balanço Planilhado'!BU57)</f>
        <v>0</v>
      </c>
      <c r="BV31" s="69">
        <f ca="1">BV35*1000/('Balanço Planilhado'!BV57)</f>
        <v>0</v>
      </c>
      <c r="BW31" s="69">
        <f ca="1">BW35*1000/('Balanço Planilhado'!BW57)</f>
        <v>0</v>
      </c>
    </row>
    <row r="32" spans="1:75" s="25" customFormat="1" x14ac:dyDescent="0.3">
      <c r="A32" s="7"/>
      <c r="AF32" s="1"/>
    </row>
    <row r="33" spans="1:76" s="207" customFormat="1" ht="13.8" x14ac:dyDescent="0.3">
      <c r="A33" s="207" t="s">
        <v>102</v>
      </c>
    </row>
    <row r="34" spans="1:76" s="23" customFormat="1" ht="13.8" x14ac:dyDescent="0.3">
      <c r="AC34" s="97">
        <f>AC35-('Balanço Planilhado'!AC47+'Balanço Planilhado'!AC52)/1000</f>
        <v>0</v>
      </c>
      <c r="AD34" s="97">
        <f>AD35-('Balanço Planilhado'!AD47+'Balanço Planilhado'!AD52)/1000</f>
        <v>0</v>
      </c>
      <c r="AE34" s="97">
        <f>AE35-('Balanço Planilhado'!AE47+'Balanço Planilhado'!AE52)/1000</f>
        <v>0</v>
      </c>
    </row>
    <row r="35" spans="1:76" x14ac:dyDescent="0.3">
      <c r="A35" s="4" t="s">
        <v>704</v>
      </c>
      <c r="B35" s="4"/>
      <c r="C35" s="4"/>
      <c r="D35" s="4"/>
      <c r="E35" s="4"/>
      <c r="F35" s="4"/>
      <c r="G35" s="48">
        <f>SUM(G36:G37)</f>
        <v>279.702</v>
      </c>
      <c r="H35" s="23"/>
      <c r="I35" s="23"/>
      <c r="J35" s="23"/>
      <c r="K35" s="23"/>
      <c r="L35" s="48">
        <f>SUM(L36:L37)</f>
        <v>1645.576</v>
      </c>
      <c r="M35" s="23"/>
      <c r="N35" s="23"/>
      <c r="O35" s="23"/>
      <c r="P35" s="23"/>
      <c r="Q35" s="48">
        <f>SUM(Q36:Q37)</f>
        <v>1909.7189999999998</v>
      </c>
      <c r="R35" s="23"/>
      <c r="S35" s="23"/>
      <c r="T35" s="23"/>
      <c r="U35" s="23"/>
      <c r="V35" s="48">
        <f>SUM(V36:V37)</f>
        <v>3307.9209999999998</v>
      </c>
      <c r="W35" s="23"/>
      <c r="X35" s="23"/>
      <c r="Y35" s="23"/>
      <c r="Z35" s="23"/>
      <c r="AA35" s="48">
        <f>SUM(AA36:AA37)</f>
        <v>7632.0879999999997</v>
      </c>
      <c r="AB35" s="48">
        <f>SUM(AB36:AB37)</f>
        <v>8875.8370000000014</v>
      </c>
      <c r="AC35" s="48">
        <f>SUM(AC36:AC37)</f>
        <v>8443.732</v>
      </c>
      <c r="AD35" s="48">
        <f>SUM(AD36:AD37)</f>
        <v>8420.5480000000007</v>
      </c>
      <c r="AE35" s="48">
        <f>SUM(AE36:AE37)</f>
        <v>7393.1639999999998</v>
      </c>
      <c r="AF35" s="48">
        <f>AE35</f>
        <v>7393.1639999999998</v>
      </c>
      <c r="AG35" s="48">
        <f>AF35-AG47</f>
        <v>6229.0468000000001</v>
      </c>
      <c r="AH35" s="48">
        <f>AG35-AH47</f>
        <v>4854.0468000000001</v>
      </c>
      <c r="AI35" s="48">
        <f>AH35-AI47</f>
        <v>1704.0468000000001</v>
      </c>
      <c r="AJ35" s="48">
        <f>AI35-AJ47</f>
        <v>949.24680000000012</v>
      </c>
      <c r="AK35" s="48">
        <f>AJ35-AK47</f>
        <v>0</v>
      </c>
      <c r="AL35" s="48">
        <f>AK35-AL47</f>
        <v>0</v>
      </c>
      <c r="AM35" s="48">
        <f>AL35-AM47</f>
        <v>0</v>
      </c>
      <c r="AN35" s="48">
        <f>AM35-AN47</f>
        <v>0</v>
      </c>
      <c r="AO35" s="48">
        <f>AN35-AO47</f>
        <v>0</v>
      </c>
      <c r="AP35" s="48">
        <f>AO35-AP47</f>
        <v>0</v>
      </c>
      <c r="AQ35" s="48">
        <f>AP35-AQ47</f>
        <v>0</v>
      </c>
      <c r="AR35" s="48">
        <f>AQ35-AR47</f>
        <v>0</v>
      </c>
      <c r="AS35" s="48">
        <f>AR35-AS47</f>
        <v>0</v>
      </c>
      <c r="AT35" s="48">
        <f>AS35-AT47</f>
        <v>0</v>
      </c>
      <c r="AU35" s="48">
        <f>AT35-AU47</f>
        <v>0</v>
      </c>
      <c r="AV35" s="48">
        <f>AU35-AV47</f>
        <v>0</v>
      </c>
      <c r="AW35" s="48">
        <f>AV35-AW47</f>
        <v>0</v>
      </c>
      <c r="AX35" s="48">
        <f>AW35-AX47</f>
        <v>0</v>
      </c>
      <c r="AY35" s="48">
        <f>AX35-AY47</f>
        <v>0</v>
      </c>
      <c r="AZ35" s="48">
        <f>AY35-AZ47</f>
        <v>0</v>
      </c>
      <c r="BA35" s="48">
        <f>AZ35-BA47</f>
        <v>0</v>
      </c>
      <c r="BB35" s="48">
        <f>BA35-BB47</f>
        <v>0</v>
      </c>
      <c r="BC35" s="48">
        <f>BB35-BC47</f>
        <v>0</v>
      </c>
      <c r="BD35" s="48">
        <f>BC35-BD47</f>
        <v>0</v>
      </c>
      <c r="BE35" s="48">
        <f>BD35-BE47</f>
        <v>0</v>
      </c>
      <c r="BF35" s="48">
        <f>BE35-BF47</f>
        <v>0</v>
      </c>
      <c r="BG35" s="48">
        <f>BF35-BG47</f>
        <v>0</v>
      </c>
      <c r="BH35" s="48">
        <f>BG35-BH47</f>
        <v>0</v>
      </c>
      <c r="BI35" s="48">
        <f>BH35-BI47</f>
        <v>0</v>
      </c>
      <c r="BJ35" s="48">
        <f>BI35-BJ47</f>
        <v>0</v>
      </c>
      <c r="BK35" s="48">
        <f>BJ35-BK47</f>
        <v>0</v>
      </c>
      <c r="BL35" s="48">
        <f>BK35-BL47</f>
        <v>0</v>
      </c>
      <c r="BM35" s="48">
        <f>BL35-BM47</f>
        <v>0</v>
      </c>
      <c r="BN35" s="48">
        <f>BM35-BN47</f>
        <v>0</v>
      </c>
      <c r="BO35" s="48">
        <f>BN35-BO47</f>
        <v>0</v>
      </c>
      <c r="BP35" s="48">
        <f>BO35-BP47</f>
        <v>0</v>
      </c>
      <c r="BQ35" s="48">
        <f>BP35-BQ47</f>
        <v>0</v>
      </c>
      <c r="BR35" s="48">
        <f>BQ35-BR47</f>
        <v>0</v>
      </c>
      <c r="BS35" s="48">
        <f>BR35-BS47</f>
        <v>0</v>
      </c>
      <c r="BT35" s="48">
        <f>BS35-BT47</f>
        <v>0</v>
      </c>
      <c r="BU35" s="48">
        <f>BT35-BU47</f>
        <v>0</v>
      </c>
      <c r="BV35" s="48">
        <f>BU35-BV47</f>
        <v>0</v>
      </c>
      <c r="BW35" s="48">
        <f>BV35-BW47</f>
        <v>0</v>
      </c>
    </row>
    <row r="36" spans="1:76" x14ac:dyDescent="0.3">
      <c r="A36" s="5" t="s">
        <v>95</v>
      </c>
      <c r="B36" s="5"/>
      <c r="C36" s="5"/>
      <c r="D36" s="5"/>
      <c r="E36" s="5"/>
      <c r="F36" s="5"/>
      <c r="G36" s="55">
        <v>31.547000000000001</v>
      </c>
      <c r="H36" s="24"/>
      <c r="I36" s="24"/>
      <c r="J36" s="24"/>
      <c r="K36" s="24"/>
      <c r="L36" s="55">
        <v>0</v>
      </c>
      <c r="M36" s="24"/>
      <c r="N36" s="24"/>
      <c r="O36" s="24"/>
      <c r="P36" s="24"/>
      <c r="Q36" s="55">
        <v>0</v>
      </c>
      <c r="R36" s="24"/>
      <c r="S36" s="24"/>
      <c r="T36" s="24"/>
      <c r="U36" s="24"/>
      <c r="V36" s="55">
        <v>0</v>
      </c>
      <c r="W36" s="24"/>
      <c r="X36" s="24"/>
      <c r="Y36" s="24"/>
      <c r="Z36" s="24"/>
      <c r="AA36" s="55">
        <v>1990.722</v>
      </c>
      <c r="AB36" s="55">
        <v>1902.877</v>
      </c>
      <c r="AC36" s="55">
        <v>1847.6499999999999</v>
      </c>
      <c r="AD36" s="55">
        <v>1879.4939999999999</v>
      </c>
      <c r="AE36" s="55">
        <v>1839.6780000000001</v>
      </c>
      <c r="AF36" s="48">
        <f>AE36</f>
        <v>1839.6780000000001</v>
      </c>
    </row>
    <row r="37" spans="1:76" x14ac:dyDescent="0.3">
      <c r="A37" s="5" t="s">
        <v>96</v>
      </c>
      <c r="B37" s="5"/>
      <c r="C37" s="5"/>
      <c r="D37" s="5"/>
      <c r="E37" s="5"/>
      <c r="F37" s="5"/>
      <c r="G37" s="55">
        <v>248.155</v>
      </c>
      <c r="H37" s="24"/>
      <c r="I37" s="24"/>
      <c r="J37" s="24"/>
      <c r="K37" s="24"/>
      <c r="L37" s="55">
        <v>1645.576</v>
      </c>
      <c r="M37" s="24"/>
      <c r="N37" s="24"/>
      <c r="O37" s="24"/>
      <c r="P37" s="24"/>
      <c r="Q37" s="55">
        <v>1909.7189999999998</v>
      </c>
      <c r="R37" s="24"/>
      <c r="S37" s="24"/>
      <c r="T37" s="24"/>
      <c r="U37" s="24"/>
      <c r="V37" s="55">
        <v>3307.9209999999998</v>
      </c>
      <c r="W37" s="24"/>
      <c r="X37" s="24"/>
      <c r="Y37" s="24"/>
      <c r="Z37" s="24"/>
      <c r="AA37" s="55">
        <v>5641.366</v>
      </c>
      <c r="AB37" s="55">
        <v>6972.9600000000009</v>
      </c>
      <c r="AC37" s="55">
        <v>6596.0820000000003</v>
      </c>
      <c r="AD37" s="55">
        <v>6541.0540000000001</v>
      </c>
      <c r="AE37" s="55">
        <v>5553.4859999999999</v>
      </c>
      <c r="AF37" s="48">
        <f>AE37</f>
        <v>5553.4859999999999</v>
      </c>
    </row>
    <row r="38" spans="1:76" x14ac:dyDescent="0.3">
      <c r="A38" s="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row>
    <row r="39" spans="1:76" x14ac:dyDescent="0.3">
      <c r="A39" s="4" t="s">
        <v>91</v>
      </c>
      <c r="G39" s="25"/>
      <c r="H39" s="25"/>
      <c r="I39" s="25"/>
      <c r="J39" s="25"/>
      <c r="K39" s="25"/>
      <c r="L39" s="25"/>
      <c r="M39" s="25"/>
      <c r="N39" s="25"/>
      <c r="O39" s="25"/>
      <c r="P39" s="25"/>
      <c r="Q39" s="25"/>
      <c r="R39" s="25"/>
      <c r="S39" s="25"/>
      <c r="T39" s="25"/>
      <c r="U39" s="25"/>
      <c r="V39" s="25"/>
      <c r="W39" s="25"/>
      <c r="X39" s="25"/>
      <c r="Y39" s="90"/>
      <c r="Z39" s="25"/>
      <c r="AA39" s="25"/>
      <c r="AB39" s="25"/>
      <c r="AC39" s="25"/>
      <c r="AD39" s="25"/>
      <c r="AE39" s="25"/>
      <c r="AF39" s="25"/>
      <c r="AG39" s="48">
        <f>-AF35*AG42</f>
        <v>-430.75028334736714</v>
      </c>
      <c r="AH39" s="48">
        <f>-AG35*AH42</f>
        <v>-318.15266786715858</v>
      </c>
      <c r="AI39" s="48">
        <f>-AH35*AI42</f>
        <v>-233.36888943813884</v>
      </c>
      <c r="AJ39" s="48">
        <f>-AI35*AJ42</f>
        <v>-82.166591608863897</v>
      </c>
      <c r="AK39" s="48">
        <f>-AJ35*AK42</f>
        <v>-45.771262943964281</v>
      </c>
      <c r="AL39" s="48">
        <f>-AK35*AL42</f>
        <v>0</v>
      </c>
      <c r="AM39" s="48">
        <f>-AL35*AM42</f>
        <v>0</v>
      </c>
      <c r="AN39" s="48">
        <f>-AM35*AN42</f>
        <v>0</v>
      </c>
      <c r="AO39" s="48">
        <f>-AN35*AO42</f>
        <v>0</v>
      </c>
      <c r="AP39" s="48">
        <f>-AO35*AP42</f>
        <v>0</v>
      </c>
      <c r="AQ39" s="48">
        <f>-AP35*AQ42</f>
        <v>0</v>
      </c>
      <c r="AR39" s="48">
        <f>-AQ35*AR42</f>
        <v>0</v>
      </c>
      <c r="AS39" s="48">
        <f>-AR35*AS42</f>
        <v>0</v>
      </c>
      <c r="AT39" s="48">
        <f>-AS35*AT42</f>
        <v>0</v>
      </c>
      <c r="AU39" s="48">
        <f>-AT35*AU42</f>
        <v>0</v>
      </c>
      <c r="AV39" s="48">
        <f>-AU35*AV42</f>
        <v>0</v>
      </c>
      <c r="AW39" s="48">
        <f>-AV35*AW42</f>
        <v>0</v>
      </c>
      <c r="AX39" s="48">
        <f>-AW35*AX42</f>
        <v>0</v>
      </c>
      <c r="AY39" s="48">
        <f>-AX35*AY42</f>
        <v>0</v>
      </c>
      <c r="AZ39" s="48">
        <f>-AY35*AZ42</f>
        <v>0</v>
      </c>
      <c r="BA39" s="48">
        <f>-AZ35*BA42</f>
        <v>0</v>
      </c>
      <c r="BB39" s="48">
        <f>-BA35*BB42</f>
        <v>0</v>
      </c>
      <c r="BC39" s="48">
        <f>-BB35*BC42</f>
        <v>0</v>
      </c>
      <c r="BD39" s="48">
        <f>-BC35*BD42</f>
        <v>0</v>
      </c>
      <c r="BE39" s="48">
        <f>-BD35*BE42</f>
        <v>0</v>
      </c>
      <c r="BF39" s="48">
        <f>-BE35*BF42</f>
        <v>0</v>
      </c>
      <c r="BG39" s="48">
        <f>-BF35*BG42</f>
        <v>0</v>
      </c>
      <c r="BH39" s="48">
        <f>-BG35*BH42</f>
        <v>0</v>
      </c>
      <c r="BI39" s="48">
        <f>-BH35*BI42</f>
        <v>0</v>
      </c>
      <c r="BJ39" s="48">
        <f>-BI35*BJ42</f>
        <v>0</v>
      </c>
      <c r="BK39" s="48">
        <f>-BJ35*BK42</f>
        <v>0</v>
      </c>
      <c r="BL39" s="48">
        <f>-BK35*BL42</f>
        <v>0</v>
      </c>
      <c r="BM39" s="48">
        <f>-BL35*BM42</f>
        <v>0</v>
      </c>
      <c r="BN39" s="48">
        <f>-BM35*BN42</f>
        <v>0</v>
      </c>
      <c r="BO39" s="48">
        <f>-BN35*BO42</f>
        <v>0</v>
      </c>
      <c r="BP39" s="48">
        <f>-BO35*BP42</f>
        <v>0</v>
      </c>
      <c r="BQ39" s="48">
        <f>-BP35*BQ42</f>
        <v>0</v>
      </c>
      <c r="BR39" s="48">
        <f>-BQ35*BR42</f>
        <v>0</v>
      </c>
      <c r="BS39" s="48">
        <f>-BR35*BS42</f>
        <v>0</v>
      </c>
      <c r="BT39" s="48">
        <f>-BS35*BT42</f>
        <v>0</v>
      </c>
      <c r="BU39" s="48">
        <f>-BT35*BU42</f>
        <v>0</v>
      </c>
      <c r="BV39" s="48">
        <f>-BU35*BV42</f>
        <v>0</v>
      </c>
      <c r="BW39" s="48">
        <f>-BV35*BW42</f>
        <v>0</v>
      </c>
    </row>
    <row r="40" spans="1:76" x14ac:dyDescent="0.3">
      <c r="A40" s="6" t="s">
        <v>703</v>
      </c>
      <c r="B40" s="5"/>
      <c r="C40" s="5"/>
      <c r="D40" s="5"/>
      <c r="E40" s="5"/>
      <c r="F40" s="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48">
        <f>-((AG$7-AF$7)*(AF35))</f>
        <v>-1.4786328000031204</v>
      </c>
      <c r="AH40" s="48">
        <f>-((AH$7-AG$7)*(AG35))</f>
        <v>-419.21484964000223</v>
      </c>
      <c r="AI40" s="48">
        <f>-((AI$7-AH$7)*(AH35))</f>
        <v>-194.16187200000019</v>
      </c>
      <c r="AJ40" s="48">
        <f>-((AJ$7-AI$7)*(AI35))</f>
        <v>-102.24280799999934</v>
      </c>
      <c r="AK40" s="48">
        <f>-((AK$7-AJ$7)*(AJ35))</f>
        <v>0</v>
      </c>
      <c r="AL40" s="48">
        <f>-((AL$7-AK$7)*(AK35))</f>
        <v>0</v>
      </c>
      <c r="AM40" s="48">
        <f>-((AM$7-AL$7)*(AL35))</f>
        <v>0</v>
      </c>
      <c r="AN40" s="48">
        <f>-((AN$7-AM$7)*(AM35))</f>
        <v>0</v>
      </c>
      <c r="AO40" s="48">
        <f>-((AO$7-AN$7)*(AN35))</f>
        <v>0</v>
      </c>
      <c r="AP40" s="48">
        <f>-((AP$7-AO$7)*(AO35))</f>
        <v>0</v>
      </c>
      <c r="AQ40" s="48">
        <f>-((AQ$7-AP$7)*(AP35))</f>
        <v>0</v>
      </c>
      <c r="AR40" s="48">
        <f>-((AR$7-AQ$7)*(AQ35))</f>
        <v>0</v>
      </c>
      <c r="AS40" s="48">
        <f>-((AS$7-AR$7)*(AR35))</f>
        <v>0</v>
      </c>
      <c r="AT40" s="48">
        <f>-((AT$7-AS$7)*(AS35))</f>
        <v>0</v>
      </c>
      <c r="AU40" s="48">
        <f>-((AU$7-AT$7)*(AT35))</f>
        <v>0</v>
      </c>
      <c r="AV40" s="48">
        <f>-((AV$7-AU$7)*(AU35))</f>
        <v>0</v>
      </c>
      <c r="AW40" s="48">
        <f>-((AW$7-AV$7)*(AV35))</f>
        <v>0</v>
      </c>
      <c r="AX40" s="48">
        <f>-((AX$7-AW$7)*(AW35))</f>
        <v>0</v>
      </c>
      <c r="AY40" s="48">
        <f>-((AY$7-AX$7)*(AX35))</f>
        <v>0</v>
      </c>
      <c r="AZ40" s="48">
        <f>-((AZ$7-AY$7)*(AY35))</f>
        <v>0</v>
      </c>
      <c r="BA40" s="48">
        <f>-((BA$7-AZ$7)*(AZ35))</f>
        <v>0</v>
      </c>
      <c r="BB40" s="48">
        <f>-((BB$7-BA$7)*(BA35))</f>
        <v>0</v>
      </c>
      <c r="BC40" s="48">
        <f>-((BC$7-BB$7)*(BB35))</f>
        <v>0</v>
      </c>
      <c r="BD40" s="48">
        <f>-((BD$7-BC$7)*(BC35))</f>
        <v>0</v>
      </c>
      <c r="BE40" s="48">
        <f>-((BE$7-BD$7)*(BD35))</f>
        <v>0</v>
      </c>
      <c r="BF40" s="48">
        <f>-((BF$7-BE$7)*(BE35))</f>
        <v>0</v>
      </c>
      <c r="BG40" s="48">
        <f>-((BG$7-BF$7)*(BF35))</f>
        <v>0</v>
      </c>
      <c r="BH40" s="48">
        <f>-((BH$7-BG$7)*(BG35))</f>
        <v>0</v>
      </c>
      <c r="BI40" s="48">
        <f>-((BI$7-BH$7)*(BH35))</f>
        <v>0</v>
      </c>
      <c r="BJ40" s="48">
        <f>-((BJ$7-BI$7)*(BI35))</f>
        <v>0</v>
      </c>
      <c r="BK40" s="48">
        <f>-((BK$7-BJ$7)*(BJ35))</f>
        <v>0</v>
      </c>
      <c r="BL40" s="48">
        <f>-((BL$7-BK$7)*(BK35))</f>
        <v>0</v>
      </c>
      <c r="BM40" s="48">
        <f>-((BM$7-BL$7)*(BL35))</f>
        <v>0</v>
      </c>
      <c r="BN40" s="48">
        <f>-((BN$7-BM$7)*(BM35))</f>
        <v>0</v>
      </c>
      <c r="BO40" s="48">
        <f>-((BO$7-BN$7)*(BN35))</f>
        <v>0</v>
      </c>
      <c r="BP40" s="48">
        <f>-((BP$7-BO$7)*(BO35))</f>
        <v>0</v>
      </c>
      <c r="BQ40" s="48">
        <f>-((BQ$7-BP$7)*(BP35))</f>
        <v>0</v>
      </c>
      <c r="BR40" s="48">
        <f>-((BR$7-BQ$7)*(BQ35))</f>
        <v>0</v>
      </c>
      <c r="BS40" s="48">
        <f>-((BS$7-BR$7)*(BR35))</f>
        <v>0</v>
      </c>
      <c r="BT40" s="48">
        <f>-((BT$7-BS$7)*(BS35))</f>
        <v>0</v>
      </c>
      <c r="BU40" s="48">
        <f>-((BU$7-BT$7)*(BT35))</f>
        <v>0</v>
      </c>
      <c r="BV40" s="48">
        <f>-((BV$7-BU$7)*(BU35))</f>
        <v>0</v>
      </c>
      <c r="BW40" s="48">
        <f>-((BW$7-BV$7)*(BV35))</f>
        <v>0</v>
      </c>
    </row>
    <row r="41" spans="1:76" s="5" customFormat="1" x14ac:dyDescent="0.3">
      <c r="AC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row>
    <row r="42" spans="1:76" x14ac:dyDescent="0.3">
      <c r="A42" s="4" t="s">
        <v>777</v>
      </c>
      <c r="G42" s="25"/>
      <c r="H42" s="25"/>
      <c r="I42" s="25"/>
      <c r="J42" s="25"/>
      <c r="K42" s="25"/>
      <c r="L42" s="25"/>
      <c r="M42" s="25"/>
      <c r="N42" s="25"/>
      <c r="O42" s="25"/>
      <c r="P42" s="25"/>
      <c r="Q42" s="25"/>
      <c r="R42" s="25"/>
      <c r="S42" s="25"/>
      <c r="T42" s="25"/>
      <c r="AA42" s="25"/>
      <c r="AB42" s="249">
        <v>6.0199999999999997E-2</v>
      </c>
      <c r="AC42" s="249">
        <v>6.0499999999999998E-2</v>
      </c>
      <c r="AD42" s="249">
        <v>6.1800000000000001E-2</v>
      </c>
      <c r="AE42" s="249">
        <v>5.9900000000000002E-2</v>
      </c>
      <c r="AG42" s="69">
        <f>AG43+AG44</f>
        <v>5.8263320460274812E-2</v>
      </c>
      <c r="AH42" s="69">
        <f t="shared" ref="AH42:BW42" si="60">AH43+AH44</f>
        <v>5.1075658617167327E-2</v>
      </c>
      <c r="AI42" s="69">
        <f t="shared" si="60"/>
        <v>4.8077181587565007E-2</v>
      </c>
      <c r="AJ42" s="69">
        <f t="shared" si="60"/>
        <v>4.8218506445283013E-2</v>
      </c>
      <c r="AK42" s="69">
        <f t="shared" si="60"/>
        <v>4.8218506445283013E-2</v>
      </c>
      <c r="AL42" s="69">
        <f t="shared" si="60"/>
        <v>5.1113362412616645E-2</v>
      </c>
      <c r="AM42" s="69">
        <f t="shared" si="60"/>
        <v>5.1113362412616645E-2</v>
      </c>
      <c r="AN42" s="69">
        <f t="shared" si="60"/>
        <v>5.0530024410960425E-2</v>
      </c>
      <c r="AO42" s="69">
        <f t="shared" si="60"/>
        <v>5.0530024410960425E-2</v>
      </c>
      <c r="AP42" s="69">
        <f t="shared" si="60"/>
        <v>5.0530024410960425E-2</v>
      </c>
      <c r="AQ42" s="69">
        <f t="shared" si="60"/>
        <v>5.5769313364676262E-2</v>
      </c>
      <c r="AR42" s="69">
        <f t="shared" si="60"/>
        <v>5.5769313364676262E-2</v>
      </c>
      <c r="AS42" s="69">
        <f t="shared" si="60"/>
        <v>5.5769313364676262E-2</v>
      </c>
      <c r="AT42" s="69">
        <f t="shared" si="60"/>
        <v>5.5769313364676262E-2</v>
      </c>
      <c r="AU42" s="69">
        <f t="shared" si="60"/>
        <v>5.5769313364676262E-2</v>
      </c>
      <c r="AV42" s="69">
        <f t="shared" si="60"/>
        <v>5.5769313364676262E-2</v>
      </c>
      <c r="AW42" s="69">
        <f t="shared" si="60"/>
        <v>5.5769313364676262E-2</v>
      </c>
      <c r="AX42" s="69">
        <f t="shared" si="60"/>
        <v>5.5769313364676262E-2</v>
      </c>
      <c r="AY42" s="69">
        <f t="shared" si="60"/>
        <v>5.5769313364676262E-2</v>
      </c>
      <c r="AZ42" s="69">
        <f t="shared" si="60"/>
        <v>5.5769313364676262E-2</v>
      </c>
      <c r="BA42" s="69">
        <f t="shared" si="60"/>
        <v>5.0266189260186875E-2</v>
      </c>
      <c r="BB42" s="69">
        <f t="shared" si="60"/>
        <v>5.0266189260186875E-2</v>
      </c>
      <c r="BC42" s="69">
        <f t="shared" si="60"/>
        <v>5.0266189260186875E-2</v>
      </c>
      <c r="BD42" s="69">
        <f t="shared" si="60"/>
        <v>5.0266189260186875E-2</v>
      </c>
      <c r="BE42" s="69">
        <f t="shared" si="60"/>
        <v>5.0266189260186875E-2</v>
      </c>
      <c r="BF42" s="69">
        <f t="shared" si="60"/>
        <v>5.0266189260186875E-2</v>
      </c>
      <c r="BG42" s="69">
        <f t="shared" si="60"/>
        <v>5.0266189260186875E-2</v>
      </c>
      <c r="BH42" s="69">
        <f t="shared" si="60"/>
        <v>5.0266189260186875E-2</v>
      </c>
      <c r="BI42" s="69">
        <f t="shared" si="60"/>
        <v>5.0266189260186875E-2</v>
      </c>
      <c r="BJ42" s="69">
        <f t="shared" si="60"/>
        <v>5.0266189260186875E-2</v>
      </c>
      <c r="BK42" s="69">
        <f t="shared" si="60"/>
        <v>5.0266189260186875E-2</v>
      </c>
      <c r="BL42" s="69">
        <f t="shared" si="60"/>
        <v>5.0266189260186875E-2</v>
      </c>
      <c r="BM42" s="69">
        <f t="shared" si="60"/>
        <v>5.0266189260186875E-2</v>
      </c>
      <c r="BN42" s="69">
        <f t="shared" si="60"/>
        <v>5.0266189260186875E-2</v>
      </c>
      <c r="BO42" s="69">
        <f t="shared" si="60"/>
        <v>5.0266189260186875E-2</v>
      </c>
      <c r="BP42" s="69">
        <f t="shared" si="60"/>
        <v>5.0266189260186875E-2</v>
      </c>
      <c r="BQ42" s="69">
        <f t="shared" si="60"/>
        <v>5.0266189260186875E-2</v>
      </c>
      <c r="BR42" s="69">
        <f t="shared" si="60"/>
        <v>5.0266189260186875E-2</v>
      </c>
      <c r="BS42" s="69">
        <f t="shared" si="60"/>
        <v>5.0266189260186875E-2</v>
      </c>
      <c r="BT42" s="69">
        <f t="shared" si="60"/>
        <v>5.0266189260186875E-2</v>
      </c>
      <c r="BU42" s="69">
        <f t="shared" si="60"/>
        <v>5.0266189260186875E-2</v>
      </c>
      <c r="BV42" s="69">
        <f t="shared" si="60"/>
        <v>5.0266189260186875E-2</v>
      </c>
      <c r="BW42" s="69">
        <f t="shared" si="60"/>
        <v>5.0266189260186875E-2</v>
      </c>
    </row>
    <row r="43" spans="1:76" x14ac:dyDescent="0.3">
      <c r="A43" s="5" t="s">
        <v>776</v>
      </c>
      <c r="G43" s="25"/>
      <c r="H43" s="25"/>
      <c r="I43" s="25"/>
      <c r="J43" s="25"/>
      <c r="K43" s="25"/>
      <c r="L43" s="25"/>
      <c r="M43" s="25"/>
      <c r="N43" s="25"/>
      <c r="O43" s="25"/>
      <c r="P43" s="25"/>
      <c r="Q43" s="25"/>
      <c r="R43" s="25"/>
      <c r="S43" s="25"/>
      <c r="T43" s="25"/>
      <c r="Z43" s="1"/>
      <c r="AA43" s="25"/>
      <c r="AB43" s="69">
        <f>AB42-AB6</f>
        <v>1.1449999999999995E-2</v>
      </c>
      <c r="AC43" s="69">
        <f>AC42-AC6</f>
        <v>9.290064290001343E-3</v>
      </c>
      <c r="AD43" s="69">
        <f>AD42-AD6</f>
        <v>7.0132175510978986E-3</v>
      </c>
      <c r="AE43" s="69">
        <f>AE42-AE6</f>
        <v>3.7000000000000019E-3</v>
      </c>
      <c r="AG43" s="69">
        <f>AVERAGE($AB$43:$AE$43)</f>
        <v>7.8633204602748096E-3</v>
      </c>
      <c r="AH43" s="69">
        <f t="shared" ref="AH43:BW43" si="61">AVERAGE($AB$43:$AE$43)</f>
        <v>7.8633204602748096E-3</v>
      </c>
      <c r="AI43" s="69">
        <f t="shared" si="61"/>
        <v>7.8633204602748096E-3</v>
      </c>
      <c r="AJ43" s="69">
        <f t="shared" si="61"/>
        <v>7.8633204602748096E-3</v>
      </c>
      <c r="AK43" s="69">
        <f t="shared" si="61"/>
        <v>7.8633204602748096E-3</v>
      </c>
      <c r="AL43" s="69">
        <f t="shared" si="61"/>
        <v>7.8633204602748096E-3</v>
      </c>
      <c r="AM43" s="69">
        <f t="shared" si="61"/>
        <v>7.8633204602748096E-3</v>
      </c>
      <c r="AN43" s="69">
        <f t="shared" si="61"/>
        <v>7.8633204602748096E-3</v>
      </c>
      <c r="AO43" s="69">
        <f t="shared" si="61"/>
        <v>7.8633204602748096E-3</v>
      </c>
      <c r="AP43" s="69">
        <f t="shared" si="61"/>
        <v>7.8633204602748096E-3</v>
      </c>
      <c r="AQ43" s="69">
        <f t="shared" si="61"/>
        <v>7.8633204602748096E-3</v>
      </c>
      <c r="AR43" s="69">
        <f t="shared" si="61"/>
        <v>7.8633204602748096E-3</v>
      </c>
      <c r="AS43" s="69">
        <f t="shared" si="61"/>
        <v>7.8633204602748096E-3</v>
      </c>
      <c r="AT43" s="69">
        <f t="shared" si="61"/>
        <v>7.8633204602748096E-3</v>
      </c>
      <c r="AU43" s="69">
        <f t="shared" si="61"/>
        <v>7.8633204602748096E-3</v>
      </c>
      <c r="AV43" s="69">
        <f t="shared" si="61"/>
        <v>7.8633204602748096E-3</v>
      </c>
      <c r="AW43" s="69">
        <f t="shared" si="61"/>
        <v>7.8633204602748096E-3</v>
      </c>
      <c r="AX43" s="69">
        <f t="shared" si="61"/>
        <v>7.8633204602748096E-3</v>
      </c>
      <c r="AY43" s="69">
        <f t="shared" si="61"/>
        <v>7.8633204602748096E-3</v>
      </c>
      <c r="AZ43" s="69">
        <f t="shared" si="61"/>
        <v>7.8633204602748096E-3</v>
      </c>
      <c r="BA43" s="69">
        <f t="shared" si="61"/>
        <v>7.8633204602748096E-3</v>
      </c>
      <c r="BB43" s="69">
        <f t="shared" si="61"/>
        <v>7.8633204602748096E-3</v>
      </c>
      <c r="BC43" s="69">
        <f t="shared" si="61"/>
        <v>7.8633204602748096E-3</v>
      </c>
      <c r="BD43" s="69">
        <f t="shared" si="61"/>
        <v>7.8633204602748096E-3</v>
      </c>
      <c r="BE43" s="69">
        <f t="shared" si="61"/>
        <v>7.8633204602748096E-3</v>
      </c>
      <c r="BF43" s="69">
        <f t="shared" si="61"/>
        <v>7.8633204602748096E-3</v>
      </c>
      <c r="BG43" s="69">
        <f t="shared" si="61"/>
        <v>7.8633204602748096E-3</v>
      </c>
      <c r="BH43" s="69">
        <f t="shared" si="61"/>
        <v>7.8633204602748096E-3</v>
      </c>
      <c r="BI43" s="69">
        <f t="shared" si="61"/>
        <v>7.8633204602748096E-3</v>
      </c>
      <c r="BJ43" s="69">
        <f t="shared" si="61"/>
        <v>7.8633204602748096E-3</v>
      </c>
      <c r="BK43" s="69">
        <f t="shared" si="61"/>
        <v>7.8633204602748096E-3</v>
      </c>
      <c r="BL43" s="69">
        <f t="shared" si="61"/>
        <v>7.8633204602748096E-3</v>
      </c>
      <c r="BM43" s="69">
        <f t="shared" si="61"/>
        <v>7.8633204602748096E-3</v>
      </c>
      <c r="BN43" s="69">
        <f t="shared" si="61"/>
        <v>7.8633204602748096E-3</v>
      </c>
      <c r="BO43" s="69">
        <f t="shared" si="61"/>
        <v>7.8633204602748096E-3</v>
      </c>
      <c r="BP43" s="69">
        <f t="shared" si="61"/>
        <v>7.8633204602748096E-3</v>
      </c>
      <c r="BQ43" s="69">
        <f t="shared" si="61"/>
        <v>7.8633204602748096E-3</v>
      </c>
      <c r="BR43" s="69">
        <f t="shared" si="61"/>
        <v>7.8633204602748096E-3</v>
      </c>
      <c r="BS43" s="69">
        <f t="shared" si="61"/>
        <v>7.8633204602748096E-3</v>
      </c>
      <c r="BT43" s="69">
        <f t="shared" si="61"/>
        <v>7.8633204602748096E-3</v>
      </c>
      <c r="BU43" s="69">
        <f t="shared" si="61"/>
        <v>7.8633204602748096E-3</v>
      </c>
      <c r="BV43" s="69">
        <f t="shared" si="61"/>
        <v>7.8633204602748096E-3</v>
      </c>
      <c r="BW43" s="69">
        <f t="shared" si="61"/>
        <v>7.8633204602748096E-3</v>
      </c>
    </row>
    <row r="44" spans="1:76" x14ac:dyDescent="0.3">
      <c r="A44" s="5" t="s">
        <v>706</v>
      </c>
      <c r="G44" s="25"/>
      <c r="H44" s="25"/>
      <c r="I44" s="25"/>
      <c r="J44" s="25"/>
      <c r="K44" s="25"/>
      <c r="L44" s="25"/>
      <c r="M44" s="25"/>
      <c r="N44" s="25"/>
      <c r="O44" s="25"/>
      <c r="P44" s="25"/>
      <c r="Q44" s="25"/>
      <c r="R44" s="25"/>
      <c r="S44" s="25"/>
      <c r="T44" s="25"/>
      <c r="Z44" s="1"/>
      <c r="AA44" s="25"/>
      <c r="AB44" s="69">
        <f>AB6</f>
        <v>4.8750000000000002E-2</v>
      </c>
      <c r="AC44" s="69">
        <f>AC6</f>
        <v>5.1209935709998655E-2</v>
      </c>
      <c r="AD44" s="69">
        <f>AD6</f>
        <v>5.4786782448902102E-2</v>
      </c>
      <c r="AE44" s="69">
        <f>AE6</f>
        <v>5.62E-2</v>
      </c>
      <c r="AG44" s="69">
        <f>AG6</f>
        <v>5.04E-2</v>
      </c>
      <c r="AH44" s="69">
        <f>AH6</f>
        <v>4.3212338156892516E-2</v>
      </c>
      <c r="AI44" s="69">
        <f>AI6</f>
        <v>4.0213861127290196E-2</v>
      </c>
      <c r="AJ44" s="69">
        <f>AJ6</f>
        <v>4.0355185985008202E-2</v>
      </c>
      <c r="AK44" s="69">
        <f>AK6</f>
        <v>4.0355185985008202E-2</v>
      </c>
      <c r="AL44" s="69">
        <f>AL6</f>
        <v>4.3250041952341833E-2</v>
      </c>
      <c r="AM44" s="69">
        <f>AM6</f>
        <v>4.3250041952341833E-2</v>
      </c>
      <c r="AN44" s="69">
        <f>AN6</f>
        <v>4.2666703950685614E-2</v>
      </c>
      <c r="AO44" s="69">
        <f>AO6</f>
        <v>4.2666703950685614E-2</v>
      </c>
      <c r="AP44" s="69">
        <f>AP6</f>
        <v>4.2666703950685614E-2</v>
      </c>
      <c r="AQ44" s="69">
        <f>AQ6</f>
        <v>4.7905992904401451E-2</v>
      </c>
      <c r="AR44" s="69">
        <f>AR6</f>
        <v>4.7905992904401451E-2</v>
      </c>
      <c r="AS44" s="69">
        <f>AS6</f>
        <v>4.7905992904401451E-2</v>
      </c>
      <c r="AT44" s="69">
        <f>AT6</f>
        <v>4.7905992904401451E-2</v>
      </c>
      <c r="AU44" s="69">
        <f>AU6</f>
        <v>4.7905992904401451E-2</v>
      </c>
      <c r="AV44" s="69">
        <f>AV6</f>
        <v>4.7905992904401451E-2</v>
      </c>
      <c r="AW44" s="69">
        <f>AW6</f>
        <v>4.7905992904401451E-2</v>
      </c>
      <c r="AX44" s="69">
        <f>AX6</f>
        <v>4.7905992904401451E-2</v>
      </c>
      <c r="AY44" s="69">
        <f>AY6</f>
        <v>4.7905992904401451E-2</v>
      </c>
      <c r="AZ44" s="69">
        <f>AZ6</f>
        <v>4.7905992904401451E-2</v>
      </c>
      <c r="BA44" s="69">
        <f>BA6</f>
        <v>4.2402868799912063E-2</v>
      </c>
      <c r="BB44" s="69">
        <f>BB6</f>
        <v>4.2402868799912063E-2</v>
      </c>
      <c r="BC44" s="69">
        <f>BC6</f>
        <v>4.2402868799912063E-2</v>
      </c>
      <c r="BD44" s="69">
        <f>BD6</f>
        <v>4.2402868799912063E-2</v>
      </c>
      <c r="BE44" s="69">
        <f>BE6</f>
        <v>4.2402868799912063E-2</v>
      </c>
      <c r="BF44" s="69">
        <f>BF6</f>
        <v>4.2402868799912063E-2</v>
      </c>
      <c r="BG44" s="69">
        <f>BG6</f>
        <v>4.2402868799912063E-2</v>
      </c>
      <c r="BH44" s="69">
        <f>BH6</f>
        <v>4.2402868799912063E-2</v>
      </c>
      <c r="BI44" s="69">
        <f>BI6</f>
        <v>4.2402868799912063E-2</v>
      </c>
      <c r="BJ44" s="69">
        <f>BJ6</f>
        <v>4.2402868799912063E-2</v>
      </c>
      <c r="BK44" s="69">
        <f>BK6</f>
        <v>4.2402868799912063E-2</v>
      </c>
      <c r="BL44" s="69">
        <f>BL6</f>
        <v>4.2402868799912063E-2</v>
      </c>
      <c r="BM44" s="69">
        <f>BM6</f>
        <v>4.2402868799912063E-2</v>
      </c>
      <c r="BN44" s="69">
        <f>BN6</f>
        <v>4.2402868799912063E-2</v>
      </c>
      <c r="BO44" s="69">
        <f>BO6</f>
        <v>4.2402868799912063E-2</v>
      </c>
      <c r="BP44" s="69">
        <f>BP6</f>
        <v>4.2402868799912063E-2</v>
      </c>
      <c r="BQ44" s="69">
        <f>BQ6</f>
        <v>4.2402868799912063E-2</v>
      </c>
      <c r="BR44" s="69">
        <f>BR6</f>
        <v>4.2402868799912063E-2</v>
      </c>
      <c r="BS44" s="69">
        <f>BS6</f>
        <v>4.2402868799912063E-2</v>
      </c>
      <c r="BT44" s="69">
        <f>BT6</f>
        <v>4.2402868799912063E-2</v>
      </c>
      <c r="BU44" s="69">
        <f>BU6</f>
        <v>4.2402868799912063E-2</v>
      </c>
      <c r="BV44" s="69">
        <f>BV6</f>
        <v>4.2402868799912063E-2</v>
      </c>
      <c r="BW44" s="69">
        <f>BW6</f>
        <v>4.2402868799912063E-2</v>
      </c>
    </row>
    <row r="46" spans="1:76" x14ac:dyDescent="0.3">
      <c r="A46" s="270" t="s">
        <v>1181</v>
      </c>
      <c r="B46" s="248"/>
      <c r="C46" s="248"/>
      <c r="D46" s="248"/>
      <c r="E46" s="248"/>
      <c r="F46" s="248"/>
      <c r="G46" s="248"/>
      <c r="H46" s="248"/>
      <c r="I46" s="248"/>
      <c r="J46" s="248"/>
      <c r="K46" s="248"/>
      <c r="L46" s="248"/>
      <c r="M46" s="248"/>
      <c r="N46" s="248"/>
      <c r="O46" s="248"/>
      <c r="P46" s="248"/>
      <c r="Q46" s="248"/>
      <c r="R46" s="248"/>
      <c r="S46" s="248"/>
      <c r="T46" s="248"/>
      <c r="AA46" s="248"/>
      <c r="AG46" s="55">
        <v>236</v>
      </c>
      <c r="AH46" s="55">
        <v>275</v>
      </c>
      <c r="AI46" s="55">
        <v>625</v>
      </c>
      <c r="AJ46" s="55">
        <v>148</v>
      </c>
      <c r="AK46" s="55">
        <v>246</v>
      </c>
    </row>
    <row r="47" spans="1:76" x14ac:dyDescent="0.3">
      <c r="A47" s="270" t="s">
        <v>1182</v>
      </c>
      <c r="AG47" s="51">
        <f>AG46*AG7</f>
        <v>1164.1171999999999</v>
      </c>
      <c r="AH47" s="51">
        <f>AH46*AH7</f>
        <v>1375</v>
      </c>
      <c r="AI47" s="51">
        <f>AI46*AI7</f>
        <v>3150</v>
      </c>
      <c r="AJ47" s="51">
        <f>AJ46*AJ7</f>
        <v>754.8</v>
      </c>
      <c r="AK47" s="51">
        <f>AF35-SUM(AG47:AJ47)</f>
        <v>949.24679999999989</v>
      </c>
    </row>
    <row r="48" spans="1:76" x14ac:dyDescent="0.3">
      <c r="A48" s="5" t="s">
        <v>1183</v>
      </c>
    </row>
  </sheetData>
  <pageMargins left="0.511811024" right="0.511811024" top="0.78740157499999996" bottom="0.78740157499999996" header="0.31496062000000002" footer="0.31496062000000002"/>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5C881-05C7-48FB-A21E-CE32E8F10D85}">
  <sheetPr>
    <tabColor theme="9" tint="-0.499984740745262"/>
  </sheetPr>
  <dimension ref="A1:BW74"/>
  <sheetViews>
    <sheetView showGridLines="0" zoomScaleNormal="100" workbookViewId="0">
      <pane xSplit="2" ySplit="1" topLeftCell="BC47" activePane="bottomRight" state="frozen"/>
      <selection pane="topRight" activeCell="C1" sqref="C1"/>
      <selection pane="bottomLeft" activeCell="A2" sqref="A2"/>
      <selection pane="bottomRight" activeCell="BJ26" sqref="BJ26"/>
    </sheetView>
  </sheetViews>
  <sheetFormatPr defaultRowHeight="14.4" x14ac:dyDescent="0.3"/>
  <cols>
    <col min="1" max="1" width="12.21875" style="1" bestFit="1" customWidth="1"/>
    <col min="2" max="2" width="53.88671875" style="1" customWidth="1"/>
    <col min="3" max="18" width="9.77734375" style="1" bestFit="1" customWidth="1"/>
    <col min="19" max="21" width="10.109375" style="1" bestFit="1" customWidth="1"/>
    <col min="22" max="22" width="10.109375" style="1" customWidth="1"/>
    <col min="23" max="30" width="10.109375" style="1" bestFit="1" customWidth="1"/>
    <col min="31" max="31" width="10.21875" style="1" bestFit="1" customWidth="1"/>
    <col min="32" max="32" width="10.88671875" style="1" bestFit="1" customWidth="1"/>
    <col min="33" max="52" width="10.21875" style="1" bestFit="1" customWidth="1"/>
    <col min="53" max="75" width="10.77734375" style="1" bestFit="1" customWidth="1"/>
    <col min="76" max="16384" width="8.88671875" style="1"/>
  </cols>
  <sheetData>
    <row r="1" spans="1:75" x14ac:dyDescent="0.3">
      <c r="C1" s="41" t="s">
        <v>246</v>
      </c>
      <c r="D1" s="41" t="s">
        <v>245</v>
      </c>
      <c r="E1" s="41" t="s">
        <v>244</v>
      </c>
      <c r="F1" s="41" t="s">
        <v>238</v>
      </c>
      <c r="G1" s="41">
        <v>2018</v>
      </c>
      <c r="H1" s="41" t="s">
        <v>243</v>
      </c>
      <c r="I1" s="41" t="s">
        <v>242</v>
      </c>
      <c r="J1" s="41" t="s">
        <v>241</v>
      </c>
      <c r="K1" s="41" t="s">
        <v>239</v>
      </c>
      <c r="L1" s="41">
        <v>2019</v>
      </c>
      <c r="M1" s="41" t="s">
        <v>237</v>
      </c>
      <c r="N1" s="41" t="s">
        <v>236</v>
      </c>
      <c r="O1" s="41" t="s">
        <v>240</v>
      </c>
      <c r="P1" s="41" t="s">
        <v>228</v>
      </c>
      <c r="Q1" s="41">
        <v>2020</v>
      </c>
      <c r="R1" s="41" t="s">
        <v>234</v>
      </c>
      <c r="S1" s="41" t="s">
        <v>233</v>
      </c>
      <c r="T1" s="41" t="s">
        <v>231</v>
      </c>
      <c r="U1" s="41" t="s">
        <v>227</v>
      </c>
      <c r="V1" s="41">
        <v>2021</v>
      </c>
      <c r="W1" s="41" t="s">
        <v>232</v>
      </c>
      <c r="X1" s="41" t="s">
        <v>230</v>
      </c>
      <c r="Y1" s="41" t="s">
        <v>229</v>
      </c>
      <c r="Z1" s="41" t="s">
        <v>226</v>
      </c>
      <c r="AA1" s="41">
        <v>2022</v>
      </c>
      <c r="AB1" s="41" t="s">
        <v>138</v>
      </c>
      <c r="AC1" s="41" t="s">
        <v>139</v>
      </c>
      <c r="AD1" s="41" t="s">
        <v>270</v>
      </c>
      <c r="AE1" s="41" t="s">
        <v>271</v>
      </c>
      <c r="AF1" s="41">
        <v>2023</v>
      </c>
      <c r="AG1" s="41">
        <f>'Receita Líquida - O&amp;G'!AG1</f>
        <v>2024</v>
      </c>
      <c r="AH1" s="41">
        <f>'Receita Líquida - O&amp;G'!AH1</f>
        <v>2025</v>
      </c>
      <c r="AI1" s="41">
        <f>'Receita Líquida - O&amp;G'!AI1</f>
        <v>2026</v>
      </c>
      <c r="AJ1" s="41">
        <f>'Receita Líquida - O&amp;G'!AJ1</f>
        <v>2027</v>
      </c>
      <c r="AK1" s="41">
        <f>'Receita Líquida - O&amp;G'!AK1</f>
        <v>2028</v>
      </c>
      <c r="AL1" s="41">
        <f>'Receita Líquida - O&amp;G'!AL1</f>
        <v>2029</v>
      </c>
      <c r="AM1" s="41">
        <f>'Receita Líquida - O&amp;G'!AM1</f>
        <v>2030</v>
      </c>
      <c r="AN1" s="41">
        <f>'Receita Líquida - O&amp;G'!AN1</f>
        <v>2031</v>
      </c>
      <c r="AO1" s="41">
        <f>'Receita Líquida - O&amp;G'!AO1</f>
        <v>2032</v>
      </c>
      <c r="AP1" s="41">
        <f>'Receita Líquida - O&amp;G'!AP1</f>
        <v>2033</v>
      </c>
      <c r="AQ1" s="41">
        <f>'Receita Líquida - O&amp;G'!AQ1</f>
        <v>2034</v>
      </c>
      <c r="AR1" s="41">
        <f>'Receita Líquida - O&amp;G'!AR1</f>
        <v>2035</v>
      </c>
      <c r="AS1" s="41">
        <f>'Receita Líquida - O&amp;G'!AS1</f>
        <v>2036</v>
      </c>
      <c r="AT1" s="41">
        <f>'Receita Líquida - O&amp;G'!AT1</f>
        <v>2037</v>
      </c>
      <c r="AU1" s="41">
        <f>'Receita Líquida - O&amp;G'!AU1</f>
        <v>2038</v>
      </c>
      <c r="AV1" s="41">
        <f>'Receita Líquida - O&amp;G'!AV1</f>
        <v>2039</v>
      </c>
      <c r="AW1" s="41">
        <f>'Receita Líquida - O&amp;G'!AW1</f>
        <v>2040</v>
      </c>
      <c r="AX1" s="41">
        <f>'Receita Líquida - O&amp;G'!AX1</f>
        <v>2041</v>
      </c>
      <c r="AY1" s="41">
        <f>'Receita Líquida - O&amp;G'!AY1</f>
        <v>2042</v>
      </c>
      <c r="AZ1" s="41">
        <f>'Receita Líquida - O&amp;G'!AZ1</f>
        <v>2043</v>
      </c>
      <c r="BA1" s="41">
        <f>'Receita Líquida - O&amp;G'!BA1</f>
        <v>2044</v>
      </c>
      <c r="BB1" s="41">
        <f>'Receita Líquida - O&amp;G'!BB1</f>
        <v>2045</v>
      </c>
      <c r="BC1" s="41">
        <f>'Receita Líquida - O&amp;G'!BC1</f>
        <v>2046</v>
      </c>
      <c r="BD1" s="41">
        <f>'Receita Líquida - O&amp;G'!BD1</f>
        <v>2047</v>
      </c>
      <c r="BE1" s="41">
        <f>'Receita Líquida - O&amp;G'!BE1</f>
        <v>2048</v>
      </c>
      <c r="BF1" s="41">
        <f>'Receita Líquida - O&amp;G'!BF1</f>
        <v>2049</v>
      </c>
      <c r="BG1" s="41">
        <f>'Receita Líquida - O&amp;G'!BG1</f>
        <v>2050</v>
      </c>
      <c r="BH1" s="41">
        <f>'Receita Líquida - O&amp;G'!BH1</f>
        <v>2051</v>
      </c>
      <c r="BI1" s="41">
        <f>'Receita Líquida - O&amp;G'!BI1</f>
        <v>2052</v>
      </c>
      <c r="BJ1" s="41">
        <f>'Receita Líquida - O&amp;G'!BJ1</f>
        <v>2053</v>
      </c>
      <c r="BK1" s="41">
        <f>'Receita Líquida - O&amp;G'!BK1</f>
        <v>2054</v>
      </c>
      <c r="BL1" s="41">
        <f>'Receita Líquida - O&amp;G'!BL1</f>
        <v>2055</v>
      </c>
      <c r="BM1" s="41">
        <f>'Receita Líquida - O&amp;G'!BM1</f>
        <v>2056</v>
      </c>
      <c r="BN1" s="41">
        <f>'Receita Líquida - O&amp;G'!BN1</f>
        <v>2057</v>
      </c>
      <c r="BO1" s="41">
        <f>'Receita Líquida - O&amp;G'!BO1</f>
        <v>2058</v>
      </c>
      <c r="BP1" s="41">
        <f>'Receita Líquida - O&amp;G'!BP1</f>
        <v>2059</v>
      </c>
      <c r="BQ1" s="41">
        <f>'Receita Líquida - O&amp;G'!BQ1</f>
        <v>2060</v>
      </c>
      <c r="BR1" s="41">
        <f>'Receita Líquida - O&amp;G'!BR1</f>
        <v>2061</v>
      </c>
      <c r="BS1" s="41">
        <f>'Receita Líquida - O&amp;G'!BS1</f>
        <v>2062</v>
      </c>
      <c r="BT1" s="41">
        <f>'Receita Líquida - O&amp;G'!BT1</f>
        <v>2063</v>
      </c>
      <c r="BU1" s="41">
        <f>'Receita Líquida - O&amp;G'!BU1</f>
        <v>2064</v>
      </c>
      <c r="BV1" s="41">
        <f>'Receita Líquida - O&amp;G'!BV1</f>
        <v>2065</v>
      </c>
      <c r="BW1" s="41">
        <f>'Receita Líquida - O&amp;G'!BW1</f>
        <v>2066</v>
      </c>
    </row>
    <row r="3" spans="1:75" s="278" customFormat="1" ht="13.8" x14ac:dyDescent="0.3">
      <c r="A3" s="279" t="s">
        <v>1195</v>
      </c>
    </row>
    <row r="5" spans="1:75" x14ac:dyDescent="0.3">
      <c r="A5" s="1" t="s">
        <v>507</v>
      </c>
      <c r="C5" s="51">
        <f>'Fluxo de Caixa dos Acionistas'!C16</f>
        <v>117155</v>
      </c>
      <c r="D5" s="51">
        <f>'Fluxo de Caixa dos Acionistas'!D16</f>
        <v>239405</v>
      </c>
      <c r="E5" s="51">
        <f>'Fluxo de Caixa dos Acionistas'!E16</f>
        <v>224627</v>
      </c>
      <c r="F5" s="51">
        <f>'Fluxo de Caixa dos Acionistas'!F16</f>
        <v>267733</v>
      </c>
      <c r="G5" s="48">
        <f>'Fluxo de Caixa dos Acionistas'!G16</f>
        <v>848920</v>
      </c>
      <c r="H5" s="51">
        <f>'Fluxo de Caixa dos Acionistas'!H16</f>
        <v>139431</v>
      </c>
      <c r="I5" s="51">
        <f>'Fluxo de Caixa dos Acionistas'!I16</f>
        <v>547875</v>
      </c>
      <c r="J5" s="51">
        <f>'Fluxo de Caixa dos Acionistas'!J16</f>
        <v>399045</v>
      </c>
      <c r="K5" s="51">
        <f>'Fluxo de Caixa dos Acionistas'!K16</f>
        <v>557995</v>
      </c>
      <c r="L5" s="48">
        <f>'Fluxo de Caixa dos Acionistas'!L16</f>
        <v>1644346</v>
      </c>
      <c r="M5" s="51">
        <f>'Fluxo de Caixa dos Acionistas'!M16</f>
        <v>223162</v>
      </c>
      <c r="N5" s="51">
        <f>'Fluxo de Caixa dos Acionistas'!N16</f>
        <v>312293</v>
      </c>
      <c r="O5" s="51">
        <f>'Fluxo de Caixa dos Acionistas'!O16</f>
        <v>488695</v>
      </c>
      <c r="P5" s="51">
        <f>'Fluxo de Caixa dos Acionistas'!P16</f>
        <v>880035</v>
      </c>
      <c r="Q5" s="48">
        <f>'Fluxo de Caixa dos Acionistas'!Q16</f>
        <v>1904185</v>
      </c>
      <c r="R5" s="51">
        <f>'Fluxo de Caixa dos Acionistas'!R16</f>
        <v>655334</v>
      </c>
      <c r="S5" s="51">
        <f>'Fluxo de Caixa dos Acionistas'!S16</f>
        <v>1022837</v>
      </c>
      <c r="T5" s="51">
        <f>'Fluxo de Caixa dos Acionistas'!T16</f>
        <v>939517</v>
      </c>
      <c r="U5" s="51">
        <f>'Fluxo de Caixa dos Acionistas'!U16</f>
        <v>1778315</v>
      </c>
      <c r="V5" s="48">
        <f>'Fluxo de Caixa dos Acionistas'!V16</f>
        <v>4396003</v>
      </c>
      <c r="W5" s="51">
        <f>'Fluxo de Caixa dos Acionistas'!W16</f>
        <v>1529995</v>
      </c>
      <c r="X5" s="51">
        <f>'Fluxo de Caixa dos Acionistas'!X16</f>
        <v>1873985</v>
      </c>
      <c r="Y5" s="51">
        <f>'Fluxo de Caixa dos Acionistas'!Y16</f>
        <v>1985786</v>
      </c>
      <c r="Z5" s="51">
        <f>'Fluxo de Caixa dos Acionistas'!Z16</f>
        <v>973709</v>
      </c>
      <c r="AA5" s="48">
        <f>'Fluxo de Caixa dos Acionistas'!AA16</f>
        <v>6363475</v>
      </c>
      <c r="AB5" s="51">
        <f>'Fluxo de Caixa dos Acionistas'!AB16</f>
        <v>2814955</v>
      </c>
      <c r="AC5" s="51">
        <f>'Fluxo de Caixa dos Acionistas'!AC16</f>
        <v>2311206</v>
      </c>
      <c r="AD5" s="51">
        <f>'Fluxo de Caixa dos Acionistas'!AD16</f>
        <v>3783682</v>
      </c>
      <c r="AE5" s="51">
        <f>'Fluxo de Caixa dos Acionistas'!AE16</f>
        <v>2995198</v>
      </c>
      <c r="AF5" s="48">
        <f>'Fluxo de Caixa dos Acionistas'!AF16</f>
        <v>11905041</v>
      </c>
      <c r="AG5" s="48">
        <f ca="1">'Fluxo de Caixa dos Acionistas'!AG16</f>
        <v>16390386.78087198</v>
      </c>
      <c r="AH5" s="48">
        <f ca="1">'Fluxo de Caixa dos Acionistas'!AH16</f>
        <v>20323351.780034315</v>
      </c>
      <c r="AI5" s="48">
        <f ca="1">'Fluxo de Caixa dos Acionistas'!AI16</f>
        <v>20721904.899899654</v>
      </c>
      <c r="AJ5" s="48">
        <f ca="1">'Fluxo de Caixa dos Acionistas'!AJ16</f>
        <v>21323319.09452197</v>
      </c>
      <c r="AK5" s="48">
        <f ca="1">'Fluxo de Caixa dos Acionistas'!AK16</f>
        <v>20553244.297288332</v>
      </c>
      <c r="AL5" s="48">
        <f ca="1">'Fluxo de Caixa dos Acionistas'!AL16</f>
        <v>20781192.835271839</v>
      </c>
      <c r="AM5" s="48">
        <f ca="1">'Fluxo de Caixa dos Acionistas'!AM16</f>
        <v>18961693.826721907</v>
      </c>
      <c r="AN5" s="48">
        <f ca="1">'Fluxo de Caixa dos Acionistas'!AN16</f>
        <v>16224666.620542247</v>
      </c>
      <c r="AO5" s="48">
        <f ca="1">'Fluxo de Caixa dos Acionistas'!AO16</f>
        <v>14451927.383099908</v>
      </c>
      <c r="AP5" s="48">
        <f ca="1">'Fluxo de Caixa dos Acionistas'!AP16</f>
        <v>13007420.420359002</v>
      </c>
      <c r="AQ5" s="48">
        <f ca="1">'Fluxo de Caixa dos Acionistas'!AQ16</f>
        <v>11798203.427187698</v>
      </c>
      <c r="AR5" s="48">
        <f ca="1">'Fluxo de Caixa dos Acionistas'!AR16</f>
        <v>10570288.890776379</v>
      </c>
      <c r="AS5" s="48">
        <f ca="1">'Fluxo de Caixa dos Acionistas'!AS16</f>
        <v>9331665.7179269642</v>
      </c>
      <c r="AT5" s="48">
        <f ca="1">'Fluxo de Caixa dos Acionistas'!AT16</f>
        <v>8275151.7275991775</v>
      </c>
      <c r="AU5" s="48">
        <f ca="1">'Fluxo de Caixa dos Acionistas'!AU16</f>
        <v>7515560.0073167263</v>
      </c>
      <c r="AV5" s="48">
        <f ca="1">'Fluxo de Caixa dos Acionistas'!AV16</f>
        <v>6860556.0599817354</v>
      </c>
      <c r="AW5" s="48">
        <f ca="1">'Fluxo de Caixa dos Acionistas'!AW16</f>
        <v>5568699.9780870378</v>
      </c>
      <c r="AX5" s="48">
        <f ca="1">'Fluxo de Caixa dos Acionistas'!AX16</f>
        <v>5025652.8041598415</v>
      </c>
      <c r="AY5" s="48">
        <f ca="1">'Fluxo de Caixa dos Acionistas'!AY16</f>
        <v>4549195.912382327</v>
      </c>
      <c r="AZ5" s="48">
        <f ca="1">'Fluxo de Caixa dos Acionistas'!AZ16</f>
        <v>4098515.4558692994</v>
      </c>
      <c r="BA5" s="48">
        <f ca="1">'Fluxo de Caixa dos Acionistas'!BA16</f>
        <v>3749819.1320893974</v>
      </c>
      <c r="BB5" s="48">
        <f ca="1">'Fluxo de Caixa dos Acionistas'!BB16</f>
        <v>3355803.2444751463</v>
      </c>
      <c r="BC5" s="48">
        <f ca="1">'Fluxo de Caixa dos Acionistas'!BC16</f>
        <v>3132287.1289879899</v>
      </c>
      <c r="BD5" s="48">
        <f ca="1">'Fluxo de Caixa dos Acionistas'!BD16</f>
        <v>2957779.8214273546</v>
      </c>
      <c r="BE5" s="48">
        <f ca="1">'Fluxo de Caixa dos Acionistas'!BE16</f>
        <v>2810630.5580406166</v>
      </c>
      <c r="BF5" s="48">
        <f ca="1">'Fluxo de Caixa dos Acionistas'!BF16</f>
        <v>2536883.2537542437</v>
      </c>
      <c r="BG5" s="48">
        <f ca="1">'Fluxo de Caixa dos Acionistas'!BG16</f>
        <v>2382496.4886306101</v>
      </c>
      <c r="BH5" s="48">
        <f ca="1">'Fluxo de Caixa dos Acionistas'!BH16</f>
        <v>2285037.7475453387</v>
      </c>
      <c r="BI5" s="48">
        <f ca="1">'Fluxo de Caixa dos Acionistas'!BI16</f>
        <v>1476559.1882033877</v>
      </c>
      <c r="BJ5" s="48">
        <f ca="1">'Fluxo de Caixa dos Acionistas'!BJ16</f>
        <v>0</v>
      </c>
      <c r="BK5" s="48">
        <f ca="1">'Fluxo de Caixa dos Acionistas'!BK16</f>
        <v>0</v>
      </c>
      <c r="BL5" s="48">
        <f ca="1">'Fluxo de Caixa dos Acionistas'!BL16</f>
        <v>0</v>
      </c>
      <c r="BM5" s="48">
        <f ca="1">'Fluxo de Caixa dos Acionistas'!BM16</f>
        <v>0</v>
      </c>
      <c r="BN5" s="48">
        <f ca="1">'Fluxo de Caixa dos Acionistas'!BN16</f>
        <v>0</v>
      </c>
      <c r="BO5" s="48">
        <f ca="1">'Fluxo de Caixa dos Acionistas'!BO16</f>
        <v>0</v>
      </c>
      <c r="BP5" s="48">
        <f ca="1">'Fluxo de Caixa dos Acionistas'!BP16</f>
        <v>0</v>
      </c>
      <c r="BQ5" s="48">
        <f ca="1">'Fluxo de Caixa dos Acionistas'!BQ16</f>
        <v>0</v>
      </c>
      <c r="BR5" s="48">
        <f ca="1">'Fluxo de Caixa dos Acionistas'!BR16</f>
        <v>0</v>
      </c>
      <c r="BS5" s="48">
        <f ca="1">'Fluxo de Caixa dos Acionistas'!BS16</f>
        <v>0</v>
      </c>
      <c r="BT5" s="48">
        <f ca="1">'Fluxo de Caixa dos Acionistas'!BT16</f>
        <v>0</v>
      </c>
      <c r="BU5" s="48">
        <f ca="1">'Fluxo de Caixa dos Acionistas'!BU16</f>
        <v>0</v>
      </c>
      <c r="BV5" s="48">
        <f ca="1">'Fluxo de Caixa dos Acionistas'!BV16</f>
        <v>0</v>
      </c>
      <c r="BW5" s="48">
        <f ca="1">'Fluxo de Caixa dos Acionistas'!BW16</f>
        <v>0</v>
      </c>
    </row>
    <row r="6" spans="1:75" x14ac:dyDescent="0.3">
      <c r="A6" s="1" t="s">
        <v>508</v>
      </c>
      <c r="F6" s="51">
        <f>F5+E5+D5+C5</f>
        <v>848920</v>
      </c>
      <c r="G6" s="48">
        <f>G5</f>
        <v>848920</v>
      </c>
      <c r="H6" s="51">
        <f>H5+F5+E5+D5</f>
        <v>871196</v>
      </c>
      <c r="I6" s="51">
        <f>I5+H5+F5+E5</f>
        <v>1179666</v>
      </c>
      <c r="J6" s="51">
        <f>J5+I5+H5+F5</f>
        <v>1354084</v>
      </c>
      <c r="K6" s="51">
        <f>K5+J5+I5+H5</f>
        <v>1644346</v>
      </c>
      <c r="L6" s="48">
        <f>L5</f>
        <v>1644346</v>
      </c>
      <c r="M6" s="51">
        <f>M5+K5+J5+I5</f>
        <v>1728077</v>
      </c>
      <c r="N6" s="51">
        <f>N5+M5+K5+J5</f>
        <v>1492495</v>
      </c>
      <c r="O6" s="51">
        <f>O5+N5+M5+K5</f>
        <v>1582145</v>
      </c>
      <c r="P6" s="51">
        <f>P5+O5+N5+M5</f>
        <v>1904185</v>
      </c>
      <c r="Q6" s="48">
        <f>Q5</f>
        <v>1904185</v>
      </c>
      <c r="R6" s="51">
        <f>R5+P5+O5+N5</f>
        <v>2336357</v>
      </c>
      <c r="S6" s="51">
        <f>S5+R5+P5+O5</f>
        <v>3046901</v>
      </c>
      <c r="T6" s="51">
        <f>T5+S5+R5+P5</f>
        <v>3497723</v>
      </c>
      <c r="U6" s="51">
        <f>U5+T5+S5+R5</f>
        <v>4396003</v>
      </c>
      <c r="V6" s="48">
        <f>V5</f>
        <v>4396003</v>
      </c>
      <c r="W6" s="51">
        <f>W5+U5+T5+S5</f>
        <v>5270664</v>
      </c>
      <c r="X6" s="51">
        <f>X5+W5+U5+T5</f>
        <v>6121812</v>
      </c>
      <c r="Y6" s="51">
        <f>Y5+X5+W5+U5</f>
        <v>7168081</v>
      </c>
      <c r="Z6" s="51">
        <f>Z5+Y5+X5+W5</f>
        <v>6363475</v>
      </c>
      <c r="AA6" s="48">
        <f>AA5</f>
        <v>6363475</v>
      </c>
      <c r="AB6" s="51">
        <f>AB5+Z5+Y5+X5</f>
        <v>7648435</v>
      </c>
      <c r="AC6" s="51">
        <f>AC5+AB5+Z5+Y5</f>
        <v>8085656</v>
      </c>
      <c r="AD6" s="51">
        <f>AD5+AC5+AB5+Z5</f>
        <v>9883552</v>
      </c>
      <c r="AE6" s="51">
        <f>AE5+AD5+AC5+AB5</f>
        <v>11905041</v>
      </c>
      <c r="AF6" s="48">
        <f t="shared" ref="AF6:BW6" si="0">AF5</f>
        <v>11905041</v>
      </c>
      <c r="AG6" s="48">
        <f t="shared" ca="1" si="0"/>
        <v>16390386.78087198</v>
      </c>
      <c r="AH6" s="48">
        <f t="shared" ca="1" si="0"/>
        <v>20323351.780034315</v>
      </c>
      <c r="AI6" s="48">
        <f t="shared" ca="1" si="0"/>
        <v>20721904.899899654</v>
      </c>
      <c r="AJ6" s="48">
        <f t="shared" ca="1" si="0"/>
        <v>21323319.09452197</v>
      </c>
      <c r="AK6" s="48">
        <f t="shared" ca="1" si="0"/>
        <v>20553244.297288332</v>
      </c>
      <c r="AL6" s="48">
        <f t="shared" ca="1" si="0"/>
        <v>20781192.835271839</v>
      </c>
      <c r="AM6" s="48">
        <f t="shared" ca="1" si="0"/>
        <v>18961693.826721907</v>
      </c>
      <c r="AN6" s="48">
        <f t="shared" ca="1" si="0"/>
        <v>16224666.620542247</v>
      </c>
      <c r="AO6" s="48">
        <f t="shared" ca="1" si="0"/>
        <v>14451927.383099908</v>
      </c>
      <c r="AP6" s="48">
        <f t="shared" ca="1" si="0"/>
        <v>13007420.420359002</v>
      </c>
      <c r="AQ6" s="48">
        <f t="shared" ca="1" si="0"/>
        <v>11798203.427187698</v>
      </c>
      <c r="AR6" s="48">
        <f t="shared" ca="1" si="0"/>
        <v>10570288.890776379</v>
      </c>
      <c r="AS6" s="48">
        <f t="shared" ca="1" si="0"/>
        <v>9331665.7179269642</v>
      </c>
      <c r="AT6" s="48">
        <f t="shared" ca="1" si="0"/>
        <v>8275151.7275991775</v>
      </c>
      <c r="AU6" s="48">
        <f t="shared" ca="1" si="0"/>
        <v>7515560.0073167263</v>
      </c>
      <c r="AV6" s="48">
        <f t="shared" ca="1" si="0"/>
        <v>6860556.0599817354</v>
      </c>
      <c r="AW6" s="48">
        <f t="shared" ca="1" si="0"/>
        <v>5568699.9780870378</v>
      </c>
      <c r="AX6" s="48">
        <f t="shared" ca="1" si="0"/>
        <v>5025652.8041598415</v>
      </c>
      <c r="AY6" s="48">
        <f t="shared" ca="1" si="0"/>
        <v>4549195.912382327</v>
      </c>
      <c r="AZ6" s="48">
        <f t="shared" ca="1" si="0"/>
        <v>4098515.4558692994</v>
      </c>
      <c r="BA6" s="48">
        <f t="shared" ca="1" si="0"/>
        <v>3749819.1320893974</v>
      </c>
      <c r="BB6" s="48">
        <f t="shared" ca="1" si="0"/>
        <v>3355803.2444751463</v>
      </c>
      <c r="BC6" s="48">
        <f t="shared" ca="1" si="0"/>
        <v>3132287.1289879899</v>
      </c>
      <c r="BD6" s="48">
        <f t="shared" ca="1" si="0"/>
        <v>2957779.8214273546</v>
      </c>
      <c r="BE6" s="48">
        <f t="shared" ca="1" si="0"/>
        <v>2810630.5580406166</v>
      </c>
      <c r="BF6" s="48">
        <f t="shared" ca="1" si="0"/>
        <v>2536883.2537542437</v>
      </c>
      <c r="BG6" s="48">
        <f t="shared" ca="1" si="0"/>
        <v>2382496.4886306101</v>
      </c>
      <c r="BH6" s="48">
        <f t="shared" ca="1" si="0"/>
        <v>2285037.7475453387</v>
      </c>
      <c r="BI6" s="48">
        <f t="shared" ca="1" si="0"/>
        <v>1476559.1882033877</v>
      </c>
      <c r="BJ6" s="48">
        <f t="shared" ca="1" si="0"/>
        <v>0</v>
      </c>
      <c r="BK6" s="48">
        <f t="shared" ca="1" si="0"/>
        <v>0</v>
      </c>
      <c r="BL6" s="48">
        <f t="shared" ca="1" si="0"/>
        <v>0</v>
      </c>
      <c r="BM6" s="48">
        <f t="shared" ca="1" si="0"/>
        <v>0</v>
      </c>
      <c r="BN6" s="48">
        <f t="shared" ca="1" si="0"/>
        <v>0</v>
      </c>
      <c r="BO6" s="48">
        <f t="shared" ca="1" si="0"/>
        <v>0</v>
      </c>
      <c r="BP6" s="48">
        <f t="shared" ca="1" si="0"/>
        <v>0</v>
      </c>
      <c r="BQ6" s="48">
        <f t="shared" ca="1" si="0"/>
        <v>0</v>
      </c>
      <c r="BR6" s="48">
        <f t="shared" ca="1" si="0"/>
        <v>0</v>
      </c>
      <c r="BS6" s="48">
        <f t="shared" ca="1" si="0"/>
        <v>0</v>
      </c>
      <c r="BT6" s="48">
        <f t="shared" ca="1" si="0"/>
        <v>0</v>
      </c>
      <c r="BU6" s="48">
        <f t="shared" ca="1" si="0"/>
        <v>0</v>
      </c>
      <c r="BV6" s="48">
        <f t="shared" ca="1" si="0"/>
        <v>0</v>
      </c>
      <c r="BW6" s="48">
        <f t="shared" ca="1" si="0"/>
        <v>0</v>
      </c>
    </row>
    <row r="7" spans="1:75" x14ac:dyDescent="0.3">
      <c r="A7" s="1" t="s">
        <v>593</v>
      </c>
      <c r="R7" s="51">
        <f>-'Fluxo de Caixa dos Acionistas'!R18</f>
        <v>101329</v>
      </c>
      <c r="S7" s="51">
        <f>-'Fluxo de Caixa dos Acionistas'!S18</f>
        <v>175300</v>
      </c>
      <c r="T7" s="51">
        <f>-'Fluxo de Caixa dos Acionistas'!T18</f>
        <v>195016</v>
      </c>
      <c r="U7" s="51">
        <f>-'Fluxo de Caixa dos Acionistas'!U18</f>
        <v>320323</v>
      </c>
      <c r="V7" s="48">
        <f>-'Fluxo de Caixa dos Acionistas'!V18</f>
        <v>791968</v>
      </c>
      <c r="W7" s="51">
        <f>-'Fluxo de Caixa dos Acionistas'!W18</f>
        <v>180481</v>
      </c>
      <c r="X7" s="51">
        <f>-'Fluxo de Caixa dos Acionistas'!X18</f>
        <v>312597</v>
      </c>
      <c r="Y7" s="51">
        <f>-'Fluxo de Caixa dos Acionistas'!Y18</f>
        <v>241887</v>
      </c>
      <c r="Z7" s="51">
        <f>-'Fluxo de Caixa dos Acionistas'!Z18</f>
        <v>131224</v>
      </c>
      <c r="AA7" s="48">
        <f>-'Fluxo de Caixa dos Acionistas'!AA18</f>
        <v>866189</v>
      </c>
      <c r="AB7" s="51">
        <f>-'Fluxo de Caixa dos Acionistas'!AB18</f>
        <v>462030</v>
      </c>
      <c r="AC7" s="51">
        <f>-'Fluxo de Caixa dos Acionistas'!AC18</f>
        <v>95798</v>
      </c>
      <c r="AD7" s="51">
        <f>-'Fluxo de Caixa dos Acionistas'!AD18</f>
        <v>478897</v>
      </c>
      <c r="AE7" s="51">
        <f>-'Fluxo de Caixa dos Acionistas'!AE18</f>
        <v>157403</v>
      </c>
      <c r="AF7" s="48">
        <f>-'Fluxo de Caixa dos Acionistas'!AF18</f>
        <v>1194128</v>
      </c>
      <c r="AG7" s="48">
        <f ca="1">-'Fluxo de Caixa dos Acionistas'!AG18</f>
        <v>1639250.7294616199</v>
      </c>
      <c r="AH7" s="48">
        <f ca="1">-'Fluxo de Caixa dos Acionistas'!AH18</f>
        <v>2229012.7022048691</v>
      </c>
      <c r="AI7" s="48">
        <f ca="1">-'Fluxo de Caixa dos Acionistas'!AI18</f>
        <v>2463680.6696571549</v>
      </c>
      <c r="AJ7" s="48">
        <f ca="1">-'Fluxo de Caixa dos Acionistas'!AJ18</f>
        <v>2685432.0646592099</v>
      </c>
      <c r="AK7" s="48">
        <f ca="1">-'Fluxo de Caixa dos Acionistas'!AK18</f>
        <v>2746196.1375402692</v>
      </c>
      <c r="AL7" s="48">
        <f ca="1">-'Fluxo de Caixa dos Acionistas'!AL18</f>
        <v>2876515.2368307896</v>
      </c>
      <c r="AM7" s="48">
        <f ca="1">-'Fluxo de Caixa dos Acionistas'!AM18</f>
        <v>2675722.8951819404</v>
      </c>
      <c r="AN7" s="48">
        <f ca="1">-'Fluxo de Caixa dos Acionistas'!AN18</f>
        <v>2315981.6895671533</v>
      </c>
      <c r="AO7" s="48">
        <f ca="1">-'Fluxo de Caixa dos Acionistas'!AO18</f>
        <v>2044186.2335222149</v>
      </c>
      <c r="AP7" s="48">
        <f ca="1">-'Fluxo de Caixa dos Acionistas'!AP18</f>
        <v>1827675.3345078365</v>
      </c>
      <c r="AQ7" s="48">
        <f ca="1">-'Fluxo de Caixa dos Acionistas'!AQ18</f>
        <v>1649402.3899303121</v>
      </c>
      <c r="AR7" s="48">
        <f ca="1">-'Fluxo de Caixa dos Acionistas'!AR18</f>
        <v>1469924.9314477507</v>
      </c>
      <c r="AS7" s="48">
        <f ca="1">-'Fluxo de Caixa dos Acionistas'!AS18</f>
        <v>1290609.6017442627</v>
      </c>
      <c r="AT7" s="48">
        <f ca="1">-'Fluxo de Caixa dos Acionistas'!AT18</f>
        <v>1138720.9558358085</v>
      </c>
      <c r="AU7" s="48">
        <f ca="1">-'Fluxo de Caixa dos Acionistas'!AU18</f>
        <v>1030476.4842899599</v>
      </c>
      <c r="AV7" s="48">
        <f ca="1">-'Fluxo de Caixa dos Acionistas'!AV18</f>
        <v>916255.84962619876</v>
      </c>
      <c r="AW7" s="48">
        <f ca="1">-'Fluxo de Caixa dos Acionistas'!AW18</f>
        <v>741873.69076659041</v>
      </c>
      <c r="AX7" s="48">
        <f ca="1">-'Fluxo de Caixa dos Acionistas'!AX18</f>
        <v>669480.30497487809</v>
      </c>
      <c r="AY7" s="48">
        <f ca="1">-'Fluxo de Caixa dos Acionistas'!AY18</f>
        <v>605911.5560167873</v>
      </c>
      <c r="AZ7" s="48">
        <f ca="1">-'Fluxo de Caixa dos Acionistas'!AZ18</f>
        <v>545741.21660680708</v>
      </c>
      <c r="BA7" s="48">
        <f ca="1">-'Fluxo de Caixa dos Acionistas'!BA18</f>
        <v>499205.4493279162</v>
      </c>
      <c r="BB7" s="48">
        <f ca="1">-'Fluxo de Caixa dos Acionistas'!BB18</f>
        <v>446599.47670700558</v>
      </c>
      <c r="BC7" s="48">
        <f ca="1">-'Fluxo de Caixa dos Acionistas'!BC18</f>
        <v>416868.21388404456</v>
      </c>
      <c r="BD7" s="48">
        <f ca="1">-'Fluxo de Caixa dos Acionistas'!BD18</f>
        <v>393673.1469032215</v>
      </c>
      <c r="BE7" s="48">
        <f ca="1">-'Fluxo de Caixa dos Acionistas'!BE18</f>
        <v>374192.75676684454</v>
      </c>
      <c r="BF7" s="48">
        <f ca="1">-'Fluxo de Caixa dos Acionistas'!BF18</f>
        <v>337741.12909392541</v>
      </c>
      <c r="BG7" s="48">
        <f ca="1">-'Fluxo de Caixa dos Acionistas'!BG18</f>
        <v>317019.49144287605</v>
      </c>
      <c r="BH7" s="48">
        <f ca="1">-'Fluxo de Caixa dos Acionistas'!BH18</f>
        <v>303901.74988740153</v>
      </c>
      <c r="BI7" s="48">
        <f ca="1">-'Fluxo de Caixa dos Acionistas'!BI18</f>
        <v>196225.85750326148</v>
      </c>
      <c r="BJ7" s="48">
        <f ca="1">-'Fluxo de Caixa dos Acionistas'!BJ18</f>
        <v>0</v>
      </c>
      <c r="BK7" s="48">
        <f ca="1">-'Fluxo de Caixa dos Acionistas'!BK18</f>
        <v>0</v>
      </c>
      <c r="BL7" s="48">
        <f ca="1">-'Fluxo de Caixa dos Acionistas'!BL18</f>
        <v>0</v>
      </c>
      <c r="BM7" s="48">
        <f ca="1">-'Fluxo de Caixa dos Acionistas'!BM18</f>
        <v>0</v>
      </c>
      <c r="BN7" s="48">
        <f ca="1">-'Fluxo de Caixa dos Acionistas'!BN18</f>
        <v>0</v>
      </c>
      <c r="BO7" s="48">
        <f ca="1">-'Fluxo de Caixa dos Acionistas'!BO18</f>
        <v>0</v>
      </c>
      <c r="BP7" s="48">
        <f ca="1">-'Fluxo de Caixa dos Acionistas'!BP18</f>
        <v>0</v>
      </c>
      <c r="BQ7" s="48">
        <f ca="1">-'Fluxo de Caixa dos Acionistas'!BQ18</f>
        <v>0</v>
      </c>
      <c r="BR7" s="48">
        <f ca="1">-'Fluxo de Caixa dos Acionistas'!BR18</f>
        <v>0</v>
      </c>
      <c r="BS7" s="48">
        <f ca="1">-'Fluxo de Caixa dos Acionistas'!BS18</f>
        <v>0</v>
      </c>
      <c r="BT7" s="48">
        <f ca="1">-'Fluxo de Caixa dos Acionistas'!BT18</f>
        <v>0</v>
      </c>
      <c r="BU7" s="48">
        <f ca="1">-'Fluxo de Caixa dos Acionistas'!BU18</f>
        <v>0</v>
      </c>
      <c r="BV7" s="48">
        <f ca="1">-'Fluxo de Caixa dos Acionistas'!BV18</f>
        <v>0</v>
      </c>
      <c r="BW7" s="48">
        <f ca="1">-'Fluxo de Caixa dos Acionistas'!BW18</f>
        <v>0</v>
      </c>
    </row>
    <row r="8" spans="1:75" x14ac:dyDescent="0.3">
      <c r="A8" s="1" t="s">
        <v>592</v>
      </c>
      <c r="V8" s="48">
        <f>V7</f>
        <v>791968</v>
      </c>
      <c r="W8" s="51">
        <f>W7+U7+T7+S7</f>
        <v>871120</v>
      </c>
      <c r="X8" s="51">
        <f>X7+W7+U7+T7</f>
        <v>1008417</v>
      </c>
      <c r="Y8" s="51">
        <f>Y7+X7+W7+U7</f>
        <v>1055288</v>
      </c>
      <c r="Z8" s="51">
        <f>Z7+Y7+X7+W7</f>
        <v>866189</v>
      </c>
      <c r="AA8" s="48">
        <f>AA7</f>
        <v>866189</v>
      </c>
      <c r="AB8" s="51">
        <f>AB7+Z7+Y7+X7</f>
        <v>1147738</v>
      </c>
      <c r="AC8" s="51">
        <f>AC7+AB7+Z7+Y7</f>
        <v>930939</v>
      </c>
      <c r="AD8" s="51">
        <f>AD7+AC7+AB7+Z7</f>
        <v>1167949</v>
      </c>
      <c r="AE8" s="51">
        <f>AE7+AD7+AC7+AB7</f>
        <v>1194128</v>
      </c>
      <c r="AF8" s="48">
        <f t="shared" ref="AF8:BW8" si="1">AF7</f>
        <v>1194128</v>
      </c>
      <c r="AG8" s="48">
        <f t="shared" ca="1" si="1"/>
        <v>1639250.7294616199</v>
      </c>
      <c r="AH8" s="48">
        <f t="shared" ca="1" si="1"/>
        <v>2229012.7022048691</v>
      </c>
      <c r="AI8" s="48">
        <f t="shared" ca="1" si="1"/>
        <v>2463680.6696571549</v>
      </c>
      <c r="AJ8" s="48">
        <f t="shared" ca="1" si="1"/>
        <v>2685432.0646592099</v>
      </c>
      <c r="AK8" s="48">
        <f t="shared" ca="1" si="1"/>
        <v>2746196.1375402692</v>
      </c>
      <c r="AL8" s="48">
        <f t="shared" ca="1" si="1"/>
        <v>2876515.2368307896</v>
      </c>
      <c r="AM8" s="48">
        <f t="shared" ca="1" si="1"/>
        <v>2675722.8951819404</v>
      </c>
      <c r="AN8" s="48">
        <f t="shared" ca="1" si="1"/>
        <v>2315981.6895671533</v>
      </c>
      <c r="AO8" s="48">
        <f t="shared" ca="1" si="1"/>
        <v>2044186.2335222149</v>
      </c>
      <c r="AP8" s="48">
        <f t="shared" ca="1" si="1"/>
        <v>1827675.3345078365</v>
      </c>
      <c r="AQ8" s="48">
        <f t="shared" ca="1" si="1"/>
        <v>1649402.3899303121</v>
      </c>
      <c r="AR8" s="48">
        <f t="shared" ca="1" si="1"/>
        <v>1469924.9314477507</v>
      </c>
      <c r="AS8" s="48">
        <f t="shared" ca="1" si="1"/>
        <v>1290609.6017442627</v>
      </c>
      <c r="AT8" s="48">
        <f t="shared" ca="1" si="1"/>
        <v>1138720.9558358085</v>
      </c>
      <c r="AU8" s="48">
        <f t="shared" ca="1" si="1"/>
        <v>1030476.4842899599</v>
      </c>
      <c r="AV8" s="48">
        <f t="shared" ca="1" si="1"/>
        <v>916255.84962619876</v>
      </c>
      <c r="AW8" s="48">
        <f t="shared" ca="1" si="1"/>
        <v>741873.69076659041</v>
      </c>
      <c r="AX8" s="48">
        <f t="shared" ca="1" si="1"/>
        <v>669480.30497487809</v>
      </c>
      <c r="AY8" s="48">
        <f t="shared" ca="1" si="1"/>
        <v>605911.5560167873</v>
      </c>
      <c r="AZ8" s="48">
        <f t="shared" ca="1" si="1"/>
        <v>545741.21660680708</v>
      </c>
      <c r="BA8" s="48">
        <f t="shared" ca="1" si="1"/>
        <v>499205.4493279162</v>
      </c>
      <c r="BB8" s="48">
        <f t="shared" ca="1" si="1"/>
        <v>446599.47670700558</v>
      </c>
      <c r="BC8" s="48">
        <f t="shared" ca="1" si="1"/>
        <v>416868.21388404456</v>
      </c>
      <c r="BD8" s="48">
        <f t="shared" ca="1" si="1"/>
        <v>393673.1469032215</v>
      </c>
      <c r="BE8" s="48">
        <f t="shared" ca="1" si="1"/>
        <v>374192.75676684454</v>
      </c>
      <c r="BF8" s="48">
        <f t="shared" ca="1" si="1"/>
        <v>337741.12909392541</v>
      </c>
      <c r="BG8" s="48">
        <f t="shared" ca="1" si="1"/>
        <v>317019.49144287605</v>
      </c>
      <c r="BH8" s="48">
        <f t="shared" ca="1" si="1"/>
        <v>303901.74988740153</v>
      </c>
      <c r="BI8" s="48">
        <f t="shared" ca="1" si="1"/>
        <v>196225.85750326148</v>
      </c>
      <c r="BJ8" s="48">
        <f t="shared" ca="1" si="1"/>
        <v>0</v>
      </c>
      <c r="BK8" s="48">
        <f t="shared" ca="1" si="1"/>
        <v>0</v>
      </c>
      <c r="BL8" s="48">
        <f t="shared" ca="1" si="1"/>
        <v>0</v>
      </c>
      <c r="BM8" s="48">
        <f t="shared" ca="1" si="1"/>
        <v>0</v>
      </c>
      <c r="BN8" s="48">
        <f t="shared" ca="1" si="1"/>
        <v>0</v>
      </c>
      <c r="BO8" s="48">
        <f t="shared" ca="1" si="1"/>
        <v>0</v>
      </c>
      <c r="BP8" s="48">
        <f t="shared" ca="1" si="1"/>
        <v>0</v>
      </c>
      <c r="BQ8" s="48">
        <f t="shared" ca="1" si="1"/>
        <v>0</v>
      </c>
      <c r="BR8" s="48">
        <f t="shared" ca="1" si="1"/>
        <v>0</v>
      </c>
      <c r="BS8" s="48">
        <f t="shared" ca="1" si="1"/>
        <v>0</v>
      </c>
      <c r="BT8" s="48">
        <f t="shared" ca="1" si="1"/>
        <v>0</v>
      </c>
      <c r="BU8" s="48">
        <f t="shared" ca="1" si="1"/>
        <v>0</v>
      </c>
      <c r="BV8" s="48">
        <f t="shared" ca="1" si="1"/>
        <v>0</v>
      </c>
      <c r="BW8" s="48">
        <f t="shared" ca="1" si="1"/>
        <v>0</v>
      </c>
    </row>
    <row r="9" spans="1:75" x14ac:dyDescent="0.3">
      <c r="A9" s="1" t="s">
        <v>543</v>
      </c>
      <c r="C9" s="51">
        <f>'Fluxo de Caixa dos Acionistas'!C5</f>
        <v>90</v>
      </c>
      <c r="D9" s="51">
        <f>'Fluxo de Caixa dos Acionistas'!D5</f>
        <v>91</v>
      </c>
      <c r="E9" s="51">
        <f>'Fluxo de Caixa dos Acionistas'!E5</f>
        <v>92</v>
      </c>
      <c r="F9" s="51">
        <f>'Fluxo de Caixa dos Acionistas'!F5</f>
        <v>92</v>
      </c>
      <c r="G9" s="48">
        <f>'Fluxo de Caixa dos Acionistas'!G5</f>
        <v>365</v>
      </c>
      <c r="H9" s="51">
        <f>'Fluxo de Caixa dos Acionistas'!H5</f>
        <v>90</v>
      </c>
      <c r="I9" s="51">
        <f>'Fluxo de Caixa dos Acionistas'!I5</f>
        <v>91</v>
      </c>
      <c r="J9" s="51">
        <f>'Fluxo de Caixa dos Acionistas'!J5</f>
        <v>92</v>
      </c>
      <c r="K9" s="51">
        <f>'Fluxo de Caixa dos Acionistas'!K5</f>
        <v>92</v>
      </c>
      <c r="L9" s="48">
        <f>'Fluxo de Caixa dos Acionistas'!L5</f>
        <v>365</v>
      </c>
      <c r="M9" s="51">
        <f>'Fluxo de Caixa dos Acionistas'!M5</f>
        <v>91</v>
      </c>
      <c r="N9" s="51">
        <f>'Fluxo de Caixa dos Acionistas'!N5</f>
        <v>91</v>
      </c>
      <c r="O9" s="51">
        <f>'Fluxo de Caixa dos Acionistas'!O5</f>
        <v>92</v>
      </c>
      <c r="P9" s="51">
        <f>'Fluxo de Caixa dos Acionistas'!P5</f>
        <v>92</v>
      </c>
      <c r="Q9" s="48">
        <f>'Fluxo de Caixa dos Acionistas'!Q5</f>
        <v>366</v>
      </c>
      <c r="R9" s="51">
        <f>'Fluxo de Caixa dos Acionistas'!R5</f>
        <v>90</v>
      </c>
      <c r="S9" s="51">
        <f>'Fluxo de Caixa dos Acionistas'!S5</f>
        <v>91</v>
      </c>
      <c r="T9" s="51">
        <f>'Fluxo de Caixa dos Acionistas'!T5</f>
        <v>92</v>
      </c>
      <c r="U9" s="51">
        <f>'Fluxo de Caixa dos Acionistas'!U5</f>
        <v>92</v>
      </c>
      <c r="V9" s="48">
        <f>'Fluxo de Caixa dos Acionistas'!V5</f>
        <v>365</v>
      </c>
      <c r="W9" s="51">
        <f>'Fluxo de Caixa dos Acionistas'!W5</f>
        <v>90</v>
      </c>
      <c r="X9" s="51">
        <f>'Fluxo de Caixa dos Acionistas'!X5</f>
        <v>91</v>
      </c>
      <c r="Y9" s="51">
        <f>'Fluxo de Caixa dos Acionistas'!Y5</f>
        <v>92</v>
      </c>
      <c r="Z9" s="51">
        <f>'Fluxo de Caixa dos Acionistas'!Z5</f>
        <v>92</v>
      </c>
      <c r="AA9" s="48">
        <f>'Fluxo de Caixa dos Acionistas'!AA5</f>
        <v>365</v>
      </c>
      <c r="AB9" s="51">
        <f>'Fluxo de Caixa dos Acionistas'!AB5</f>
        <v>90</v>
      </c>
      <c r="AC9" s="51">
        <f>'Fluxo de Caixa dos Acionistas'!AC5</f>
        <v>91</v>
      </c>
      <c r="AD9" s="51">
        <f>'Fluxo de Caixa dos Acionistas'!AD5</f>
        <v>92</v>
      </c>
      <c r="AE9" s="51">
        <f>'Fluxo de Caixa dos Acionistas'!AE5</f>
        <v>92</v>
      </c>
      <c r="AF9" s="48">
        <f>'Fluxo de Caixa dos Acionistas'!AF5</f>
        <v>365</v>
      </c>
      <c r="AG9" s="48">
        <f>'Fluxo de Caixa dos Acionistas'!AG5</f>
        <v>366</v>
      </c>
      <c r="AH9" s="48">
        <f>'Fluxo de Caixa dos Acionistas'!AH5</f>
        <v>365</v>
      </c>
      <c r="AI9" s="48">
        <f>'Fluxo de Caixa dos Acionistas'!AI5</f>
        <v>365</v>
      </c>
      <c r="AJ9" s="48">
        <f>'Fluxo de Caixa dos Acionistas'!AJ5</f>
        <v>365</v>
      </c>
      <c r="AK9" s="48">
        <f>'Fluxo de Caixa dos Acionistas'!AK5</f>
        <v>366</v>
      </c>
      <c r="AL9" s="48">
        <f>'Fluxo de Caixa dos Acionistas'!AL5</f>
        <v>365</v>
      </c>
      <c r="AM9" s="48">
        <f>'Fluxo de Caixa dos Acionistas'!AM5</f>
        <v>365</v>
      </c>
      <c r="AN9" s="48">
        <f>'Fluxo de Caixa dos Acionistas'!AN5</f>
        <v>365</v>
      </c>
      <c r="AO9" s="48">
        <f>'Fluxo de Caixa dos Acionistas'!AO5</f>
        <v>366</v>
      </c>
      <c r="AP9" s="48">
        <f>'Fluxo de Caixa dos Acionistas'!AP5</f>
        <v>365</v>
      </c>
      <c r="AQ9" s="48">
        <f>'Fluxo de Caixa dos Acionistas'!AQ5</f>
        <v>365</v>
      </c>
      <c r="AR9" s="48">
        <f>'Fluxo de Caixa dos Acionistas'!AR5</f>
        <v>365</v>
      </c>
      <c r="AS9" s="48">
        <f>'Fluxo de Caixa dos Acionistas'!AS5</f>
        <v>366</v>
      </c>
      <c r="AT9" s="48">
        <f>'Fluxo de Caixa dos Acionistas'!AT5</f>
        <v>365</v>
      </c>
      <c r="AU9" s="48">
        <f>'Fluxo de Caixa dos Acionistas'!AU5</f>
        <v>365</v>
      </c>
      <c r="AV9" s="48">
        <f>'Fluxo de Caixa dos Acionistas'!AV5</f>
        <v>365</v>
      </c>
      <c r="AW9" s="48">
        <f>'Fluxo de Caixa dos Acionistas'!AW5</f>
        <v>366</v>
      </c>
      <c r="AX9" s="48">
        <f>'Fluxo de Caixa dos Acionistas'!AX5</f>
        <v>365</v>
      </c>
      <c r="AY9" s="48">
        <f>'Fluxo de Caixa dos Acionistas'!AY5</f>
        <v>365</v>
      </c>
      <c r="AZ9" s="48">
        <f>'Fluxo de Caixa dos Acionistas'!AZ5</f>
        <v>365</v>
      </c>
      <c r="BA9" s="48">
        <f>'Fluxo de Caixa dos Acionistas'!BA5</f>
        <v>366</v>
      </c>
      <c r="BB9" s="48">
        <f>'Fluxo de Caixa dos Acionistas'!BB5</f>
        <v>365</v>
      </c>
      <c r="BC9" s="48">
        <f>'Fluxo de Caixa dos Acionistas'!BC5</f>
        <v>365</v>
      </c>
      <c r="BD9" s="48">
        <f>'Fluxo de Caixa dos Acionistas'!BD5</f>
        <v>365</v>
      </c>
      <c r="BE9" s="48">
        <f>'Fluxo de Caixa dos Acionistas'!BE5</f>
        <v>366</v>
      </c>
      <c r="BF9" s="48">
        <f>'Fluxo de Caixa dos Acionistas'!BF5</f>
        <v>365</v>
      </c>
      <c r="BG9" s="48">
        <f>'Fluxo de Caixa dos Acionistas'!BG5</f>
        <v>365</v>
      </c>
      <c r="BH9" s="48">
        <f>'Fluxo de Caixa dos Acionistas'!BH5</f>
        <v>365</v>
      </c>
      <c r="BI9" s="48">
        <f>'Fluxo de Caixa dos Acionistas'!BI5</f>
        <v>366</v>
      </c>
      <c r="BJ9" s="48">
        <f>'Fluxo de Caixa dos Acionistas'!BJ5</f>
        <v>365</v>
      </c>
      <c r="BK9" s="48">
        <f>'Fluxo de Caixa dos Acionistas'!BK5</f>
        <v>365</v>
      </c>
      <c r="BL9" s="48">
        <f>'Fluxo de Caixa dos Acionistas'!BL5</f>
        <v>365</v>
      </c>
      <c r="BM9" s="48">
        <f>'Fluxo de Caixa dos Acionistas'!BM5</f>
        <v>366</v>
      </c>
      <c r="BN9" s="48">
        <f>'Fluxo de Caixa dos Acionistas'!BN5</f>
        <v>365</v>
      </c>
      <c r="BO9" s="48">
        <f>'Fluxo de Caixa dos Acionistas'!BO5</f>
        <v>365</v>
      </c>
      <c r="BP9" s="48">
        <f>'Fluxo de Caixa dos Acionistas'!BP5</f>
        <v>365</v>
      </c>
      <c r="BQ9" s="48">
        <f>'Fluxo de Caixa dos Acionistas'!BQ5</f>
        <v>366</v>
      </c>
      <c r="BR9" s="48">
        <f>'Fluxo de Caixa dos Acionistas'!BR5</f>
        <v>365</v>
      </c>
      <c r="BS9" s="48">
        <f>'Fluxo de Caixa dos Acionistas'!BS5</f>
        <v>365</v>
      </c>
      <c r="BT9" s="48">
        <f>'Fluxo de Caixa dos Acionistas'!BT5</f>
        <v>365</v>
      </c>
      <c r="BU9" s="48">
        <f>'Fluxo de Caixa dos Acionistas'!BU5</f>
        <v>366</v>
      </c>
      <c r="BV9" s="48">
        <f>'Fluxo de Caixa dos Acionistas'!BV5</f>
        <v>365</v>
      </c>
      <c r="BW9" s="48">
        <f>'Fluxo de Caixa dos Acionistas'!BW5</f>
        <v>365</v>
      </c>
    </row>
    <row r="10" spans="1:75" x14ac:dyDescent="0.3">
      <c r="A10" s="1" t="s">
        <v>544</v>
      </c>
      <c r="C10" s="51">
        <f>'Fluxo de Caixa dos Acionistas'!C11</f>
        <v>2452</v>
      </c>
      <c r="D10" s="51">
        <f>'Fluxo de Caixa dos Acionistas'!D11</f>
        <v>1774</v>
      </c>
      <c r="E10" s="51">
        <f>'Fluxo de Caixa dos Acionistas'!E11</f>
        <v>2683</v>
      </c>
      <c r="F10" s="51">
        <f>'Fluxo de Caixa dos Acionistas'!F11</f>
        <v>3082</v>
      </c>
      <c r="G10" s="48">
        <f>'Fluxo de Caixa dos Acionistas'!G11</f>
        <v>9991</v>
      </c>
      <c r="H10" s="51">
        <f>'Fluxo de Caixa dos Acionistas'!H11</f>
        <v>1520.471</v>
      </c>
      <c r="I10" s="51">
        <f>'Fluxo de Caixa dos Acionistas'!I11</f>
        <v>2000</v>
      </c>
      <c r="J10" s="51">
        <f>'Fluxo de Caixa dos Acionistas'!J11</f>
        <v>1503</v>
      </c>
      <c r="K10" s="51">
        <f>'Fluxo de Caixa dos Acionistas'!K11</f>
        <v>2328</v>
      </c>
      <c r="L10" s="48">
        <f>'Fluxo de Caixa dos Acionistas'!L11</f>
        <v>7351.4709999999995</v>
      </c>
      <c r="M10" s="51">
        <f>'Fluxo de Caixa dos Acionistas'!M11</f>
        <v>1452</v>
      </c>
      <c r="N10" s="51">
        <f>'Fluxo de Caixa dos Acionistas'!N11</f>
        <v>1397</v>
      </c>
      <c r="O10" s="51">
        <f>'Fluxo de Caixa dos Acionistas'!O11</f>
        <v>2398</v>
      </c>
      <c r="P10" s="51">
        <f>'Fluxo de Caixa dos Acionistas'!P11</f>
        <v>3725</v>
      </c>
      <c r="Q10" s="48">
        <f>'Fluxo de Caixa dos Acionistas'!Q11</f>
        <v>8972</v>
      </c>
      <c r="R10" s="51">
        <f>'Fluxo de Caixa dos Acionistas'!R11</f>
        <v>1928</v>
      </c>
      <c r="S10" s="51">
        <f>'Fluxo de Caixa dos Acionistas'!S11</f>
        <v>2837</v>
      </c>
      <c r="T10" s="51">
        <f>'Fluxo de Caixa dos Acionistas'!T11</f>
        <v>2484</v>
      </c>
      <c r="U10" s="51">
        <f>'Fluxo de Caixa dos Acionistas'!U11</f>
        <v>3827</v>
      </c>
      <c r="V10" s="48">
        <f>'Fluxo de Caixa dos Acionistas'!V11</f>
        <v>11076</v>
      </c>
      <c r="W10" s="51">
        <f>'Fluxo de Caixa dos Acionistas'!W11</f>
        <v>2798</v>
      </c>
      <c r="X10" s="51">
        <f>'Fluxo de Caixa dos Acionistas'!X11</f>
        <v>3347</v>
      </c>
      <c r="Y10" s="51">
        <f>'Fluxo de Caixa dos Acionistas'!Y11</f>
        <v>3847</v>
      </c>
      <c r="Z10" s="51">
        <f>'Fluxo de Caixa dos Acionistas'!Z11</f>
        <v>2293</v>
      </c>
      <c r="AA10" s="48">
        <f>'Fluxo de Caixa dos Acionistas'!AA11</f>
        <v>12285</v>
      </c>
      <c r="AB10" s="51">
        <f>'Fluxo de Caixa dos Acionistas'!AB11</f>
        <v>7290</v>
      </c>
      <c r="AC10" s="51">
        <f>'Fluxo de Caixa dos Acionistas'!AC11</f>
        <v>7156</v>
      </c>
      <c r="AD10" s="51">
        <f>'Fluxo de Caixa dos Acionistas'!AD11</f>
        <v>9772</v>
      </c>
      <c r="AE10" s="51">
        <f>'Fluxo de Caixa dos Acionistas'!AE11</f>
        <v>8343</v>
      </c>
      <c r="AF10" s="48">
        <f>'Fluxo de Caixa dos Acionistas'!AF11</f>
        <v>32561</v>
      </c>
      <c r="AG10" s="48">
        <f ca="1">'Fluxo de Caixa dos Acionistas'!AG11</f>
        <v>43523.297763867173</v>
      </c>
      <c r="AH10" s="48">
        <f ca="1">'Fluxo de Caixa dos Acionistas'!AH11</f>
        <v>58019.124530297122</v>
      </c>
      <c r="AI10" s="48">
        <f ca="1">'Fluxo de Caixa dos Acionistas'!AI11</f>
        <v>62023.685801669584</v>
      </c>
      <c r="AJ10" s="48">
        <f ca="1">'Fluxo de Caixa dos Acionistas'!AJ11</f>
        <v>65754.672833032848</v>
      </c>
      <c r="AK10" s="48">
        <f ca="1">'Fluxo de Caixa dos Acionistas'!AK11</f>
        <v>65148.46561838562</v>
      </c>
      <c r="AL10" s="48">
        <f ca="1">'Fluxo de Caixa dos Acionistas'!AL11</f>
        <v>66252.472996001292</v>
      </c>
      <c r="AM10" s="48">
        <f ca="1">'Fluxo de Caixa dos Acionistas'!AM11</f>
        <v>59832.799719761759</v>
      </c>
      <c r="AN10" s="48">
        <f ca="1">'Fluxo de Caixa dos Acionistas'!AN11</f>
        <v>50280.094703258212</v>
      </c>
      <c r="AO10" s="48">
        <f ca="1">'Fluxo de Caixa dos Acionistas'!AO11</f>
        <v>43086.795956626811</v>
      </c>
      <c r="AP10" s="48">
        <f ca="1">'Fluxo de Caixa dos Acionistas'!AP11</f>
        <v>37401.202617402269</v>
      </c>
      <c r="AQ10" s="48">
        <f ca="1">'Fluxo de Caixa dos Acionistas'!AQ11</f>
        <v>32769.959973683195</v>
      </c>
      <c r="AR10" s="48">
        <f ca="1">'Fluxo de Caixa dos Acionistas'!AR11</f>
        <v>28353.535661687059</v>
      </c>
      <c r="AS10" s="48">
        <f ca="1">'Fluxo de Caixa dos Acionistas'!AS11</f>
        <v>24169.615070156382</v>
      </c>
      <c r="AT10" s="48">
        <f ca="1">'Fluxo de Caixa dos Acionistas'!AT11</f>
        <v>20704.032004536843</v>
      </c>
      <c r="AU10" s="48">
        <f ca="1">'Fluxo de Caixa dos Acionistas'!AU11</f>
        <v>18190.242051858157</v>
      </c>
      <c r="AV10" s="48">
        <f ca="1">'Fluxo de Caixa dos Acionistas'!AV11</f>
        <v>15702.902285133843</v>
      </c>
      <c r="AW10" s="48">
        <f ca="1">'Fluxo de Caixa dos Acionistas'!AW11</f>
        <v>12344</v>
      </c>
      <c r="AX10" s="48">
        <f ca="1">'Fluxo de Caixa dos Acionistas'!AX11</f>
        <v>10815</v>
      </c>
      <c r="AY10" s="48">
        <f ca="1">'Fluxo de Caixa dos Acionistas'!AY11</f>
        <v>9503</v>
      </c>
      <c r="AZ10" s="48">
        <f ca="1">'Fluxo de Caixa dos Acionistas'!AZ11</f>
        <v>8310</v>
      </c>
      <c r="BA10" s="48">
        <f ca="1">'Fluxo de Caixa dos Acionistas'!BA11</f>
        <v>7380</v>
      </c>
      <c r="BB10" s="48">
        <f ca="1">'Fluxo de Caixa dos Acionistas'!BB11</f>
        <v>6410</v>
      </c>
      <c r="BC10" s="48">
        <f ca="1">'Fluxo de Caixa dos Acionistas'!BC11</f>
        <v>5809</v>
      </c>
      <c r="BD10" s="48">
        <f ca="1">'Fluxo de Caixa dos Acionistas'!BD11</f>
        <v>5326</v>
      </c>
      <c r="BE10" s="48">
        <f ca="1">'Fluxo de Caixa dos Acionistas'!BE11</f>
        <v>4915</v>
      </c>
      <c r="BF10" s="48">
        <f ca="1">'Fluxo de Caixa dos Acionistas'!BF11</f>
        <v>4307</v>
      </c>
      <c r="BG10" s="48">
        <f ca="1">'Fluxo de Caixa dos Acionistas'!BG11</f>
        <v>3925</v>
      </c>
      <c r="BH10" s="48">
        <f ca="1">'Fluxo de Caixa dos Acionistas'!BH11</f>
        <v>3653</v>
      </c>
      <c r="BI10" s="48">
        <f ca="1">'Fluxo de Caixa dos Acionistas'!BI11</f>
        <v>2290</v>
      </c>
      <c r="BJ10" s="48">
        <f ca="1">'Fluxo de Caixa dos Acionistas'!BJ11</f>
        <v>0</v>
      </c>
      <c r="BK10" s="48">
        <f ca="1">'Fluxo de Caixa dos Acionistas'!BK11</f>
        <v>0</v>
      </c>
      <c r="BL10" s="48">
        <f ca="1">'Fluxo de Caixa dos Acionistas'!BL11</f>
        <v>0</v>
      </c>
      <c r="BM10" s="48">
        <f ca="1">'Fluxo de Caixa dos Acionistas'!BM11</f>
        <v>0</v>
      </c>
      <c r="BN10" s="48">
        <f ca="1">'Fluxo de Caixa dos Acionistas'!BN11</f>
        <v>0</v>
      </c>
      <c r="BO10" s="48">
        <f ca="1">'Fluxo de Caixa dos Acionistas'!BO11</f>
        <v>0</v>
      </c>
      <c r="BP10" s="48">
        <f ca="1">'Fluxo de Caixa dos Acionistas'!BP11</f>
        <v>0</v>
      </c>
      <c r="BQ10" s="48">
        <f ca="1">'Fluxo de Caixa dos Acionistas'!BQ11</f>
        <v>0</v>
      </c>
      <c r="BR10" s="48">
        <f ca="1">'Fluxo de Caixa dos Acionistas'!BR11</f>
        <v>0</v>
      </c>
      <c r="BS10" s="48">
        <f ca="1">'Fluxo de Caixa dos Acionistas'!BS11</f>
        <v>0</v>
      </c>
      <c r="BT10" s="48">
        <f ca="1">'Fluxo de Caixa dos Acionistas'!BT11</f>
        <v>0</v>
      </c>
      <c r="BU10" s="48">
        <f ca="1">'Fluxo de Caixa dos Acionistas'!BU11</f>
        <v>0</v>
      </c>
      <c r="BV10" s="48">
        <f ca="1">'Fluxo de Caixa dos Acionistas'!BV11</f>
        <v>0</v>
      </c>
      <c r="BW10" s="48">
        <f ca="1">'Fluxo de Caixa dos Acionistas'!BW11</f>
        <v>0</v>
      </c>
    </row>
    <row r="12" spans="1:75" s="212" customFormat="1" x14ac:dyDescent="0.3">
      <c r="A12" s="212" t="s">
        <v>249</v>
      </c>
    </row>
    <row r="14" spans="1:75" x14ac:dyDescent="0.3">
      <c r="A14" s="1" t="s">
        <v>110</v>
      </c>
      <c r="B14" s="1" t="s">
        <v>111</v>
      </c>
      <c r="C14" s="89">
        <f t="shared" ref="C14:AE14" si="2">C15-C41</f>
        <v>0</v>
      </c>
      <c r="D14" s="89">
        <f t="shared" si="2"/>
        <v>0</v>
      </c>
      <c r="E14" s="89">
        <f t="shared" si="2"/>
        <v>0</v>
      </c>
      <c r="F14" s="89">
        <f t="shared" si="2"/>
        <v>0</v>
      </c>
      <c r="G14" s="89">
        <f t="shared" si="2"/>
        <v>0</v>
      </c>
      <c r="H14" s="89">
        <f t="shared" si="2"/>
        <v>0</v>
      </c>
      <c r="I14" s="89">
        <f t="shared" si="2"/>
        <v>0</v>
      </c>
      <c r="J14" s="89">
        <f t="shared" si="2"/>
        <v>0</v>
      </c>
      <c r="K14" s="89">
        <f t="shared" si="2"/>
        <v>0</v>
      </c>
      <c r="L14" s="89">
        <f t="shared" si="2"/>
        <v>0</v>
      </c>
      <c r="M14" s="89">
        <f t="shared" si="2"/>
        <v>0</v>
      </c>
      <c r="N14" s="89">
        <f t="shared" si="2"/>
        <v>0</v>
      </c>
      <c r="O14" s="89">
        <f t="shared" si="2"/>
        <v>0</v>
      </c>
      <c r="P14" s="89">
        <f t="shared" si="2"/>
        <v>0</v>
      </c>
      <c r="Q14" s="89">
        <f t="shared" si="2"/>
        <v>0</v>
      </c>
      <c r="R14" s="89">
        <f t="shared" si="2"/>
        <v>0</v>
      </c>
      <c r="S14" s="89">
        <f t="shared" si="2"/>
        <v>0</v>
      </c>
      <c r="T14" s="89">
        <f t="shared" si="2"/>
        <v>0</v>
      </c>
      <c r="U14" s="89">
        <f t="shared" si="2"/>
        <v>0</v>
      </c>
      <c r="V14" s="89">
        <f t="shared" si="2"/>
        <v>0</v>
      </c>
      <c r="W14" s="89">
        <f t="shared" si="2"/>
        <v>0</v>
      </c>
      <c r="X14" s="89">
        <f t="shared" si="2"/>
        <v>0</v>
      </c>
      <c r="Y14" s="89">
        <f t="shared" si="2"/>
        <v>0</v>
      </c>
      <c r="Z14" s="89">
        <f t="shared" si="2"/>
        <v>0</v>
      </c>
      <c r="AA14" s="89">
        <f t="shared" si="2"/>
        <v>0</v>
      </c>
      <c r="AB14" s="89">
        <f t="shared" si="2"/>
        <v>0</v>
      </c>
      <c r="AC14" s="89">
        <f t="shared" si="2"/>
        <v>0</v>
      </c>
      <c r="AD14" s="89">
        <f t="shared" si="2"/>
        <v>0</v>
      </c>
      <c r="AE14" s="89">
        <f t="shared" si="2"/>
        <v>0</v>
      </c>
      <c r="AF14" s="89">
        <f t="shared" ref="AF14:BW14" si="3">AF15-AF41</f>
        <v>0</v>
      </c>
      <c r="AG14" s="89">
        <f t="shared" ca="1" si="3"/>
        <v>0</v>
      </c>
      <c r="AH14" s="89">
        <f t="shared" ca="1" si="3"/>
        <v>0</v>
      </c>
      <c r="AI14" s="89">
        <f t="shared" ca="1" si="3"/>
        <v>0</v>
      </c>
      <c r="AJ14" s="89">
        <f t="shared" ca="1" si="3"/>
        <v>0</v>
      </c>
      <c r="AK14" s="89">
        <f t="shared" ca="1" si="3"/>
        <v>0</v>
      </c>
      <c r="AL14" s="89">
        <f t="shared" ca="1" si="3"/>
        <v>0</v>
      </c>
      <c r="AM14" s="89">
        <f t="shared" ca="1" si="3"/>
        <v>0</v>
      </c>
      <c r="AN14" s="89">
        <f t="shared" ca="1" si="3"/>
        <v>0</v>
      </c>
      <c r="AO14" s="89">
        <f t="shared" ca="1" si="3"/>
        <v>0</v>
      </c>
      <c r="AP14" s="89">
        <f t="shared" ca="1" si="3"/>
        <v>0</v>
      </c>
      <c r="AQ14" s="89">
        <f t="shared" ca="1" si="3"/>
        <v>0</v>
      </c>
      <c r="AR14" s="89">
        <f t="shared" ca="1" si="3"/>
        <v>0</v>
      </c>
      <c r="AS14" s="89">
        <f t="shared" ca="1" si="3"/>
        <v>0</v>
      </c>
      <c r="AT14" s="89">
        <f t="shared" ca="1" si="3"/>
        <v>0</v>
      </c>
      <c r="AU14" s="89">
        <f t="shared" ca="1" si="3"/>
        <v>0</v>
      </c>
      <c r="AV14" s="89">
        <f t="shared" ca="1" si="3"/>
        <v>0</v>
      </c>
      <c r="AW14" s="89">
        <f t="shared" ca="1" si="3"/>
        <v>0</v>
      </c>
      <c r="AX14" s="89">
        <f t="shared" ca="1" si="3"/>
        <v>0</v>
      </c>
      <c r="AY14" s="89">
        <f t="shared" ca="1" si="3"/>
        <v>0</v>
      </c>
      <c r="AZ14" s="89">
        <f t="shared" ca="1" si="3"/>
        <v>0</v>
      </c>
      <c r="BA14" s="89">
        <f t="shared" ca="1" si="3"/>
        <v>0</v>
      </c>
      <c r="BB14" s="89">
        <f t="shared" ca="1" si="3"/>
        <v>0</v>
      </c>
      <c r="BC14" s="89">
        <f t="shared" ca="1" si="3"/>
        <v>0</v>
      </c>
      <c r="BD14" s="89">
        <f t="shared" ca="1" si="3"/>
        <v>0</v>
      </c>
      <c r="BE14" s="89">
        <f t="shared" ca="1" si="3"/>
        <v>0</v>
      </c>
      <c r="BF14" s="89">
        <f t="shared" ca="1" si="3"/>
        <v>0</v>
      </c>
      <c r="BG14" s="89">
        <f t="shared" ca="1" si="3"/>
        <v>0</v>
      </c>
      <c r="BH14" s="89">
        <f t="shared" ca="1" si="3"/>
        <v>0</v>
      </c>
      <c r="BI14" s="89">
        <f t="shared" ca="1" si="3"/>
        <v>0</v>
      </c>
      <c r="BJ14" s="89">
        <f t="shared" ca="1" si="3"/>
        <v>0</v>
      </c>
      <c r="BK14" s="89">
        <f t="shared" ca="1" si="3"/>
        <v>0</v>
      </c>
      <c r="BL14" s="89">
        <f t="shared" ca="1" si="3"/>
        <v>0</v>
      </c>
      <c r="BM14" s="89">
        <f t="shared" ca="1" si="3"/>
        <v>0</v>
      </c>
      <c r="BN14" s="89">
        <f t="shared" ca="1" si="3"/>
        <v>0</v>
      </c>
      <c r="BO14" s="89">
        <f t="shared" ca="1" si="3"/>
        <v>0</v>
      </c>
      <c r="BP14" s="89">
        <f t="shared" ca="1" si="3"/>
        <v>0</v>
      </c>
      <c r="BQ14" s="89">
        <f t="shared" ca="1" si="3"/>
        <v>0</v>
      </c>
      <c r="BR14" s="89">
        <f t="shared" ca="1" si="3"/>
        <v>0</v>
      </c>
      <c r="BS14" s="89">
        <f t="shared" ca="1" si="3"/>
        <v>0</v>
      </c>
      <c r="BT14" s="89">
        <f t="shared" ca="1" si="3"/>
        <v>0</v>
      </c>
      <c r="BU14" s="89">
        <f t="shared" ca="1" si="3"/>
        <v>0</v>
      </c>
      <c r="BV14" s="89">
        <f t="shared" ca="1" si="3"/>
        <v>0</v>
      </c>
      <c r="BW14" s="89">
        <f t="shared" ca="1" si="3"/>
        <v>0</v>
      </c>
    </row>
    <row r="15" spans="1:75" x14ac:dyDescent="0.3">
      <c r="A15" s="35">
        <v>1</v>
      </c>
      <c r="B15" s="38" t="s">
        <v>112</v>
      </c>
      <c r="C15" s="48">
        <f t="shared" ref="C15:AE15" si="4">C16+C28</f>
        <v>1228426</v>
      </c>
      <c r="D15" s="48">
        <f t="shared" si="4"/>
        <v>1459604</v>
      </c>
      <c r="E15" s="48">
        <f t="shared" si="4"/>
        <v>1279999</v>
      </c>
      <c r="F15" s="48">
        <f t="shared" si="4"/>
        <v>1516180</v>
      </c>
      <c r="G15" s="48">
        <f t="shared" si="4"/>
        <v>1516180</v>
      </c>
      <c r="H15" s="48">
        <f t="shared" si="4"/>
        <v>4332603</v>
      </c>
      <c r="I15" s="48">
        <f t="shared" si="4"/>
        <v>4387144</v>
      </c>
      <c r="J15" s="48">
        <f t="shared" si="4"/>
        <v>4596221</v>
      </c>
      <c r="K15" s="48">
        <f t="shared" si="4"/>
        <v>5489751</v>
      </c>
      <c r="L15" s="48">
        <f t="shared" si="4"/>
        <v>5489751</v>
      </c>
      <c r="M15" s="48">
        <f t="shared" si="4"/>
        <v>6984388</v>
      </c>
      <c r="N15" s="48">
        <f t="shared" si="4"/>
        <v>6660586</v>
      </c>
      <c r="O15" s="48">
        <f t="shared" si="4"/>
        <v>7055431</v>
      </c>
      <c r="P15" s="48">
        <f t="shared" si="4"/>
        <v>6792833</v>
      </c>
      <c r="Q15" s="48">
        <f t="shared" si="4"/>
        <v>6792833</v>
      </c>
      <c r="R15" s="48">
        <f t="shared" si="4"/>
        <v>9341748</v>
      </c>
      <c r="S15" s="48">
        <f t="shared" si="4"/>
        <v>10504500</v>
      </c>
      <c r="T15" s="48">
        <f t="shared" si="4"/>
        <v>11445166</v>
      </c>
      <c r="U15" s="48">
        <f t="shared" si="4"/>
        <v>12221416</v>
      </c>
      <c r="V15" s="48">
        <f t="shared" si="4"/>
        <v>12221416</v>
      </c>
      <c r="W15" s="48">
        <f t="shared" si="4"/>
        <v>12862921</v>
      </c>
      <c r="X15" s="48">
        <f t="shared" si="4"/>
        <v>16292271</v>
      </c>
      <c r="Y15" s="48">
        <f t="shared" si="4"/>
        <v>19920152</v>
      </c>
      <c r="Z15" s="48">
        <f t="shared" si="4"/>
        <v>20302520</v>
      </c>
      <c r="AA15" s="48">
        <f t="shared" si="4"/>
        <v>20302520</v>
      </c>
      <c r="AB15" s="48">
        <f t="shared" si="4"/>
        <v>25623115</v>
      </c>
      <c r="AC15" s="48">
        <f t="shared" si="4"/>
        <v>25991952</v>
      </c>
      <c r="AD15" s="48">
        <f t="shared" si="4"/>
        <v>28521683</v>
      </c>
      <c r="AE15" s="48">
        <f t="shared" si="4"/>
        <v>28310932</v>
      </c>
      <c r="AF15" s="48">
        <f>AE15</f>
        <v>28310932</v>
      </c>
      <c r="AG15" s="48">
        <f t="shared" ref="AG15:BW15" ca="1" si="5">AG16+AG28</f>
        <v>31581084.05536069</v>
      </c>
      <c r="AH15" s="48">
        <f t="shared" ca="1" si="5"/>
        <v>33572063.786920846</v>
      </c>
      <c r="AI15" s="48">
        <f t="shared" ca="1" si="5"/>
        <v>33170491.916666426</v>
      </c>
      <c r="AJ15" s="48">
        <f t="shared" ca="1" si="5"/>
        <v>32687196.773798212</v>
      </c>
      <c r="AK15" s="48">
        <f t="shared" ca="1" si="5"/>
        <v>30986194.695977062</v>
      </c>
      <c r="AL15" s="48">
        <f t="shared" ca="1" si="5"/>
        <v>29886381.469726615</v>
      </c>
      <c r="AM15" s="48">
        <f t="shared" ca="1" si="5"/>
        <v>26916798.672987547</v>
      </c>
      <c r="AN15" s="48">
        <f t="shared" ca="1" si="5"/>
        <v>23832107.407617748</v>
      </c>
      <c r="AO15" s="48">
        <f t="shared" ca="1" si="5"/>
        <v>21433823.389629684</v>
      </c>
      <c r="AP15" s="48">
        <f t="shared" ca="1" si="5"/>
        <v>19395570.101802319</v>
      </c>
      <c r="AQ15" s="48">
        <f t="shared" ca="1" si="5"/>
        <v>17650434.644394003</v>
      </c>
      <c r="AR15" s="48">
        <f t="shared" ca="1" si="5"/>
        <v>16079098.396633603</v>
      </c>
      <c r="AS15" s="48">
        <f t="shared" ca="1" si="5"/>
        <v>14649459.921516703</v>
      </c>
      <c r="AT15" s="48">
        <f t="shared" ca="1" si="5"/>
        <v>13302848.899551481</v>
      </c>
      <c r="AU15" s="48">
        <f t="shared" ca="1" si="5"/>
        <v>12209966.630380344</v>
      </c>
      <c r="AV15" s="48">
        <f t="shared" ca="1" si="5"/>
        <v>11341947.527887326</v>
      </c>
      <c r="AW15" s="48">
        <f t="shared" ca="1" si="5"/>
        <v>10246534.499615597</v>
      </c>
      <c r="AX15" s="48">
        <f t="shared" ca="1" si="5"/>
        <v>9562785.4872837961</v>
      </c>
      <c r="AY15" s="48">
        <f t="shared" ca="1" si="5"/>
        <v>8961601.1517826784</v>
      </c>
      <c r="AZ15" s="48">
        <f t="shared" ca="1" si="5"/>
        <v>8409594.1230936684</v>
      </c>
      <c r="BA15" s="48">
        <f t="shared" ca="1" si="5"/>
        <v>7945696.9763738383</v>
      </c>
      <c r="BB15" s="48">
        <f t="shared" ca="1" si="5"/>
        <v>7476886.71284167</v>
      </c>
      <c r="BC15" s="48">
        <f t="shared" ca="1" si="5"/>
        <v>7086174.0300291702</v>
      </c>
      <c r="BD15" s="48">
        <f t="shared" ca="1" si="5"/>
        <v>6705604.7400650037</v>
      </c>
      <c r="BE15" s="48">
        <f t="shared" ca="1" si="5"/>
        <v>6337949.9291409384</v>
      </c>
      <c r="BF15" s="48">
        <f t="shared" ca="1" si="5"/>
        <v>5871608.284265521</v>
      </c>
      <c r="BG15" s="48">
        <f t="shared" ca="1" si="5"/>
        <v>5092704.2069542576</v>
      </c>
      <c r="BH15" s="48">
        <f t="shared" ca="1" si="5"/>
        <v>4604108.8570890557</v>
      </c>
      <c r="BI15" s="48">
        <f t="shared" ca="1" si="5"/>
        <v>4227782.6406060979</v>
      </c>
      <c r="BJ15" s="48">
        <f t="shared" ca="1" si="5"/>
        <v>3542103</v>
      </c>
      <c r="BK15" s="48">
        <f t="shared" ca="1" si="5"/>
        <v>3542103</v>
      </c>
      <c r="BL15" s="48">
        <f t="shared" ca="1" si="5"/>
        <v>3542103</v>
      </c>
      <c r="BM15" s="48">
        <f t="shared" ca="1" si="5"/>
        <v>3542103</v>
      </c>
      <c r="BN15" s="48">
        <f t="shared" ca="1" si="5"/>
        <v>3542103</v>
      </c>
      <c r="BO15" s="48">
        <f t="shared" ca="1" si="5"/>
        <v>3542103</v>
      </c>
      <c r="BP15" s="48">
        <f t="shared" ca="1" si="5"/>
        <v>3542103</v>
      </c>
      <c r="BQ15" s="48">
        <f t="shared" ca="1" si="5"/>
        <v>3542103</v>
      </c>
      <c r="BR15" s="48">
        <f t="shared" ca="1" si="5"/>
        <v>3542103</v>
      </c>
      <c r="BS15" s="48">
        <f t="shared" ca="1" si="5"/>
        <v>3542103</v>
      </c>
      <c r="BT15" s="48">
        <f t="shared" ca="1" si="5"/>
        <v>3542103</v>
      </c>
      <c r="BU15" s="48">
        <f t="shared" ca="1" si="5"/>
        <v>3542103</v>
      </c>
      <c r="BV15" s="48">
        <f t="shared" ca="1" si="5"/>
        <v>3542103</v>
      </c>
      <c r="BW15" s="48">
        <f t="shared" ca="1" si="5"/>
        <v>3542103</v>
      </c>
    </row>
    <row r="16" spans="1:75" s="38" customFormat="1" x14ac:dyDescent="0.3">
      <c r="A16" s="1" t="s">
        <v>113</v>
      </c>
      <c r="B16" s="64" t="s">
        <v>114</v>
      </c>
      <c r="C16" s="48">
        <f t="shared" ref="C16:AE16" si="6">C17+C19+C21+C23+C25+C26+C27</f>
        <v>807148</v>
      </c>
      <c r="D16" s="48">
        <f t="shared" si="6"/>
        <v>985089</v>
      </c>
      <c r="E16" s="48">
        <f t="shared" si="6"/>
        <v>794540</v>
      </c>
      <c r="F16" s="48">
        <f t="shared" si="6"/>
        <v>1035616</v>
      </c>
      <c r="G16" s="48">
        <f t="shared" si="6"/>
        <v>1035616</v>
      </c>
      <c r="H16" s="48">
        <f t="shared" si="6"/>
        <v>675301</v>
      </c>
      <c r="I16" s="48">
        <f t="shared" si="6"/>
        <v>1000921</v>
      </c>
      <c r="J16" s="48">
        <f t="shared" si="6"/>
        <v>1139211</v>
      </c>
      <c r="K16" s="48">
        <f t="shared" si="6"/>
        <v>1513090</v>
      </c>
      <c r="L16" s="48">
        <f t="shared" si="6"/>
        <v>1513090</v>
      </c>
      <c r="M16" s="48">
        <f t="shared" si="6"/>
        <v>1732269</v>
      </c>
      <c r="N16" s="48">
        <f t="shared" si="6"/>
        <v>1400073</v>
      </c>
      <c r="O16" s="48">
        <f t="shared" si="6"/>
        <v>1650433</v>
      </c>
      <c r="P16" s="48">
        <f t="shared" si="6"/>
        <v>1841415</v>
      </c>
      <c r="Q16" s="48">
        <f t="shared" si="6"/>
        <v>1841415</v>
      </c>
      <c r="R16" s="48">
        <f t="shared" si="6"/>
        <v>4097287</v>
      </c>
      <c r="S16" s="48">
        <f t="shared" si="6"/>
        <v>5517215</v>
      </c>
      <c r="T16" s="48">
        <f t="shared" si="6"/>
        <v>5463662</v>
      </c>
      <c r="U16" s="48">
        <f t="shared" si="6"/>
        <v>6106295</v>
      </c>
      <c r="V16" s="48">
        <f t="shared" si="6"/>
        <v>6106295</v>
      </c>
      <c r="W16" s="48">
        <f t="shared" si="6"/>
        <v>6805410</v>
      </c>
      <c r="X16" s="48">
        <f t="shared" si="6"/>
        <v>7975120</v>
      </c>
      <c r="Y16" s="48">
        <f t="shared" si="6"/>
        <v>11122283</v>
      </c>
      <c r="Z16" s="48">
        <f t="shared" si="6"/>
        <v>10602627</v>
      </c>
      <c r="AA16" s="48">
        <f t="shared" si="6"/>
        <v>10602627</v>
      </c>
      <c r="AB16" s="48">
        <f t="shared" si="6"/>
        <v>3884323</v>
      </c>
      <c r="AC16" s="48">
        <f t="shared" si="6"/>
        <v>3664023</v>
      </c>
      <c r="AD16" s="48">
        <f t="shared" si="6"/>
        <v>5086534</v>
      </c>
      <c r="AE16" s="48">
        <f t="shared" si="6"/>
        <v>5294874</v>
      </c>
      <c r="AF16" s="48">
        <f t="shared" ref="AF16:AF18" si="7">AE16</f>
        <v>5294874</v>
      </c>
      <c r="AG16" s="48">
        <f t="shared" ref="AG16:BW16" ca="1" si="8">AG17+AG19+AG21+AG23+AG25+AG26+AG27</f>
        <v>8142070.3273857739</v>
      </c>
      <c r="AH16" s="48">
        <f t="shared" ca="1" si="8"/>
        <v>10009914.154671274</v>
      </c>
      <c r="AI16" s="48">
        <f t="shared" ca="1" si="8"/>
        <v>10195147.745719297</v>
      </c>
      <c r="AJ16" s="48">
        <f t="shared" ca="1" si="8"/>
        <v>10474664.089775981</v>
      </c>
      <c r="AK16" s="48">
        <f t="shared" ca="1" si="8"/>
        <v>10108776.168556558</v>
      </c>
      <c r="AL16" s="48">
        <f t="shared" ca="1" si="8"/>
        <v>10222702.710484151</v>
      </c>
      <c r="AM16" s="48">
        <f t="shared" ca="1" si="8"/>
        <v>9377063.0241710842</v>
      </c>
      <c r="AN16" s="48">
        <f t="shared" ca="1" si="8"/>
        <v>8104988.2293028552</v>
      </c>
      <c r="AO16" s="48">
        <f t="shared" ca="1" si="8"/>
        <v>7275466.9301812351</v>
      </c>
      <c r="AP16" s="48">
        <f t="shared" ca="1" si="8"/>
        <v>6609724.3930872483</v>
      </c>
      <c r="AQ16" s="48">
        <f t="shared" ca="1" si="8"/>
        <v>6047722.5046637123</v>
      </c>
      <c r="AR16" s="48">
        <f t="shared" ca="1" si="8"/>
        <v>5477030.6501967702</v>
      </c>
      <c r="AS16" s="48">
        <f t="shared" ca="1" si="8"/>
        <v>4897736.8625793923</v>
      </c>
      <c r="AT16" s="48">
        <f t="shared" ca="1" si="8"/>
        <v>4410330.9369271165</v>
      </c>
      <c r="AU16" s="48">
        <f t="shared" ca="1" si="8"/>
        <v>4057299.1951964218</v>
      </c>
      <c r="AV16" s="48">
        <f t="shared" ca="1" si="8"/>
        <v>3752876.2029576865</v>
      </c>
      <c r="AW16" s="48">
        <f t="shared" ca="1" si="8"/>
        <v>3150303.3585788109</v>
      </c>
      <c r="AX16" s="48">
        <f t="shared" ca="1" si="8"/>
        <v>2900077.159717388</v>
      </c>
      <c r="AY16" s="48">
        <f t="shared" ca="1" si="8"/>
        <v>2678636.612285851</v>
      </c>
      <c r="AZ16" s="48">
        <f t="shared" ca="1" si="8"/>
        <v>2469176.0530427666</v>
      </c>
      <c r="BA16" s="48">
        <f t="shared" ca="1" si="8"/>
        <v>2305657.5260561886</v>
      </c>
      <c r="BB16" s="48">
        <f t="shared" ca="1" si="8"/>
        <v>2123989.3183905827</v>
      </c>
      <c r="BC16" s="48">
        <f t="shared" ca="1" si="8"/>
        <v>2020106.8227704777</v>
      </c>
      <c r="BD16" s="48">
        <f t="shared" ca="1" si="8"/>
        <v>1939001.911950811</v>
      </c>
      <c r="BE16" s="48">
        <f t="shared" ca="1" si="8"/>
        <v>1869520.2624367797</v>
      </c>
      <c r="BF16" s="48">
        <f t="shared" ca="1" si="8"/>
        <v>1743383.8655628685</v>
      </c>
      <c r="BG16" s="48">
        <f t="shared" ca="1" si="8"/>
        <v>1671630.281187966</v>
      </c>
      <c r="BH16" s="48">
        <f t="shared" ca="1" si="8"/>
        <v>1626334.8570890562</v>
      </c>
      <c r="BI16" s="48">
        <f t="shared" ca="1" si="8"/>
        <v>1250008.6406060979</v>
      </c>
      <c r="BJ16" s="48">
        <f t="shared" ca="1" si="8"/>
        <v>564329</v>
      </c>
      <c r="BK16" s="48">
        <f t="shared" ca="1" si="8"/>
        <v>564329</v>
      </c>
      <c r="BL16" s="48">
        <f t="shared" ca="1" si="8"/>
        <v>564329</v>
      </c>
      <c r="BM16" s="48">
        <f t="shared" ca="1" si="8"/>
        <v>564329</v>
      </c>
      <c r="BN16" s="48">
        <f t="shared" ca="1" si="8"/>
        <v>564329</v>
      </c>
      <c r="BO16" s="48">
        <f t="shared" ca="1" si="8"/>
        <v>564329</v>
      </c>
      <c r="BP16" s="48">
        <f t="shared" ca="1" si="8"/>
        <v>564329</v>
      </c>
      <c r="BQ16" s="48">
        <f t="shared" ca="1" si="8"/>
        <v>564329</v>
      </c>
      <c r="BR16" s="48">
        <f t="shared" ca="1" si="8"/>
        <v>564329</v>
      </c>
      <c r="BS16" s="48">
        <f t="shared" ca="1" si="8"/>
        <v>564329</v>
      </c>
      <c r="BT16" s="48">
        <f t="shared" ca="1" si="8"/>
        <v>564329</v>
      </c>
      <c r="BU16" s="48">
        <f t="shared" ca="1" si="8"/>
        <v>564329</v>
      </c>
      <c r="BV16" s="48">
        <f t="shared" ca="1" si="8"/>
        <v>564329</v>
      </c>
      <c r="BW16" s="48">
        <f t="shared" ca="1" si="8"/>
        <v>564329</v>
      </c>
    </row>
    <row r="17" spans="1:75" x14ac:dyDescent="0.3">
      <c r="A17" s="1" t="s">
        <v>115</v>
      </c>
      <c r="B17" s="47" t="s">
        <v>116</v>
      </c>
      <c r="C17" s="49">
        <v>86663</v>
      </c>
      <c r="D17" s="49">
        <v>69331</v>
      </c>
      <c r="E17" s="49">
        <v>28160</v>
      </c>
      <c r="F17" s="49">
        <v>186993</v>
      </c>
      <c r="G17" s="51">
        <f t="shared" ref="G17:G32" si="9">F17</f>
        <v>186993</v>
      </c>
      <c r="H17" s="49">
        <v>107363</v>
      </c>
      <c r="I17" s="49">
        <v>392879</v>
      </c>
      <c r="J17" s="49">
        <v>358921</v>
      </c>
      <c r="K17" s="49">
        <v>459396</v>
      </c>
      <c r="L17" s="51">
        <f t="shared" ref="L17:L32" si="10">K17</f>
        <v>459396</v>
      </c>
      <c r="M17" s="49">
        <v>315180</v>
      </c>
      <c r="N17" s="49">
        <v>319688</v>
      </c>
      <c r="O17" s="49">
        <v>422585</v>
      </c>
      <c r="P17" s="49">
        <v>809273</v>
      </c>
      <c r="Q17" s="51">
        <f t="shared" ref="Q17:Q32" si="11">P17</f>
        <v>809273</v>
      </c>
      <c r="R17" s="49">
        <v>3185031</v>
      </c>
      <c r="S17" s="49">
        <v>3381619</v>
      </c>
      <c r="T17" s="49">
        <v>1948979</v>
      </c>
      <c r="U17" s="49">
        <v>970681</v>
      </c>
      <c r="V17" s="51">
        <f t="shared" ref="V17:V32" si="12">U17</f>
        <v>970681</v>
      </c>
      <c r="W17" s="49">
        <v>3091614</v>
      </c>
      <c r="X17" s="49">
        <v>3193381</v>
      </c>
      <c r="Y17" s="49">
        <v>8362706</v>
      </c>
      <c r="Z17" s="49">
        <v>9612961</v>
      </c>
      <c r="AA17" s="51">
        <f t="shared" ref="AA17:AA32" si="13">Z17</f>
        <v>9612961</v>
      </c>
      <c r="AB17" s="49">
        <v>527180</v>
      </c>
      <c r="AC17" s="49">
        <v>1155253</v>
      </c>
      <c r="AD17" s="49">
        <v>2225259</v>
      </c>
      <c r="AE17" s="49">
        <v>2335403</v>
      </c>
      <c r="AF17" s="51">
        <f t="shared" si="7"/>
        <v>2335403</v>
      </c>
      <c r="AG17" s="51">
        <f t="shared" ref="AG17:BW17" ca="1" si="14">AG18*AG$6</f>
        <v>4099146.0894113602</v>
      </c>
      <c r="AH17" s="51">
        <f t="shared" ca="1" si="14"/>
        <v>5082759.1250062622</v>
      </c>
      <c r="AI17" s="51">
        <f t="shared" ca="1" si="14"/>
        <v>5182435.0804648185</v>
      </c>
      <c r="AJ17" s="51">
        <f t="shared" ca="1" si="14"/>
        <v>5332845.481205306</v>
      </c>
      <c r="AK17" s="51">
        <f t="shared" ca="1" si="14"/>
        <v>5140253.9862127407</v>
      </c>
      <c r="AL17" s="51">
        <f t="shared" ca="1" si="14"/>
        <v>5197262.6688359352</v>
      </c>
      <c r="AM17" s="51">
        <f t="shared" ca="1" si="14"/>
        <v>4742215.9182437258</v>
      </c>
      <c r="AN17" s="51">
        <f t="shared" ca="1" si="14"/>
        <v>4057700.3836916499</v>
      </c>
      <c r="AO17" s="51">
        <f t="shared" ca="1" si="14"/>
        <v>3614347.9961086861</v>
      </c>
      <c r="AP17" s="51">
        <f t="shared" ca="1" si="14"/>
        <v>3253084.7052169107</v>
      </c>
      <c r="AQ17" s="51">
        <f t="shared" ca="1" si="14"/>
        <v>2950666.1488352772</v>
      </c>
      <c r="AR17" s="51">
        <f t="shared" ca="1" si="14"/>
        <v>2643571.4391524075</v>
      </c>
      <c r="AS17" s="51">
        <f t="shared" ca="1" si="14"/>
        <v>2333798.5580654698</v>
      </c>
      <c r="AT17" s="51">
        <f t="shared" ca="1" si="14"/>
        <v>2069570.1875114143</v>
      </c>
      <c r="AU17" s="51">
        <f t="shared" ca="1" si="14"/>
        <v>1879600.4527289013</v>
      </c>
      <c r="AV17" s="51">
        <f t="shared" ca="1" si="14"/>
        <v>1715787.5479351811</v>
      </c>
      <c r="AW17" s="51">
        <f t="shared" ca="1" si="14"/>
        <v>1392701.407444529</v>
      </c>
      <c r="AX17" s="51">
        <f t="shared" ca="1" si="14"/>
        <v>1256888.279351213</v>
      </c>
      <c r="AY17" s="51">
        <f t="shared" ca="1" si="14"/>
        <v>1137729.0166190993</v>
      </c>
      <c r="AZ17" s="51">
        <f t="shared" ca="1" si="14"/>
        <v>1025016.2993667233</v>
      </c>
      <c r="BA17" s="51">
        <f t="shared" ca="1" si="14"/>
        <v>937809.25592571055</v>
      </c>
      <c r="BB17" s="51">
        <f t="shared" ca="1" si="14"/>
        <v>839268.03743751708</v>
      </c>
      <c r="BC17" s="51">
        <f t="shared" ca="1" si="14"/>
        <v>783367.87943826511</v>
      </c>
      <c r="BD17" s="51">
        <f t="shared" ca="1" si="14"/>
        <v>739724.55625594128</v>
      </c>
      <c r="BE17" s="51">
        <f t="shared" ca="1" si="14"/>
        <v>702923.33029125305</v>
      </c>
      <c r="BF17" s="51">
        <f t="shared" ca="1" si="14"/>
        <v>634460.62670441985</v>
      </c>
      <c r="BG17" s="51">
        <f t="shared" ca="1" si="14"/>
        <v>595849.34113964171</v>
      </c>
      <c r="BH17" s="51">
        <f t="shared" ca="1" si="14"/>
        <v>571475.44302853255</v>
      </c>
      <c r="BI17" s="51">
        <f t="shared" ca="1" si="14"/>
        <v>369279.37717564497</v>
      </c>
      <c r="BJ17" s="51">
        <f t="shared" ca="1" si="14"/>
        <v>0</v>
      </c>
      <c r="BK17" s="51">
        <f t="shared" ca="1" si="14"/>
        <v>0</v>
      </c>
      <c r="BL17" s="51">
        <f t="shared" ca="1" si="14"/>
        <v>0</v>
      </c>
      <c r="BM17" s="51">
        <f t="shared" ca="1" si="14"/>
        <v>0</v>
      </c>
      <c r="BN17" s="51">
        <f t="shared" ca="1" si="14"/>
        <v>0</v>
      </c>
      <c r="BO17" s="51">
        <f t="shared" ca="1" si="14"/>
        <v>0</v>
      </c>
      <c r="BP17" s="51">
        <f t="shared" ca="1" si="14"/>
        <v>0</v>
      </c>
      <c r="BQ17" s="51">
        <f t="shared" ca="1" si="14"/>
        <v>0</v>
      </c>
      <c r="BR17" s="51">
        <f t="shared" ca="1" si="14"/>
        <v>0</v>
      </c>
      <c r="BS17" s="51">
        <f t="shared" ca="1" si="14"/>
        <v>0</v>
      </c>
      <c r="BT17" s="51">
        <f t="shared" ca="1" si="14"/>
        <v>0</v>
      </c>
      <c r="BU17" s="51">
        <f t="shared" ca="1" si="14"/>
        <v>0</v>
      </c>
      <c r="BV17" s="51">
        <f t="shared" ca="1" si="14"/>
        <v>0</v>
      </c>
      <c r="BW17" s="51">
        <f t="shared" ca="1" si="14"/>
        <v>0</v>
      </c>
    </row>
    <row r="18" spans="1:75" x14ac:dyDescent="0.3">
      <c r="B18" s="47" t="s">
        <v>380</v>
      </c>
      <c r="C18"/>
      <c r="D18"/>
      <c r="E18"/>
      <c r="F18" s="74">
        <f t="shared" ref="F18:AC18" si="15">F17/F$6</f>
        <v>0.22027163925929416</v>
      </c>
      <c r="G18" s="74">
        <f t="shared" si="15"/>
        <v>0.22027163925929416</v>
      </c>
      <c r="H18" s="74">
        <f t="shared" si="15"/>
        <v>0.12323633258187595</v>
      </c>
      <c r="I18" s="74">
        <f t="shared" si="15"/>
        <v>0.3330425730672919</v>
      </c>
      <c r="J18" s="74">
        <f t="shared" si="15"/>
        <v>0.26506553507758751</v>
      </c>
      <c r="K18" s="74">
        <f t="shared" si="15"/>
        <v>0.2793791574279379</v>
      </c>
      <c r="L18" s="74">
        <f t="shared" si="15"/>
        <v>0.2793791574279379</v>
      </c>
      <c r="M18" s="74">
        <f t="shared" si="15"/>
        <v>0.18238770610337388</v>
      </c>
      <c r="N18" s="74">
        <f t="shared" si="15"/>
        <v>0.21419703248587096</v>
      </c>
      <c r="O18" s="74">
        <f t="shared" si="15"/>
        <v>0.26709625223983896</v>
      </c>
      <c r="P18" s="74">
        <f t="shared" si="15"/>
        <v>0.4249970459803013</v>
      </c>
      <c r="Q18" s="74">
        <f t="shared" si="15"/>
        <v>0.4249970459803013</v>
      </c>
      <c r="R18" s="74">
        <f t="shared" si="15"/>
        <v>1.3632467127241257</v>
      </c>
      <c r="S18" s="74">
        <f t="shared" si="15"/>
        <v>1.1098552266712964</v>
      </c>
      <c r="T18" s="74">
        <f t="shared" si="15"/>
        <v>0.55721365013753232</v>
      </c>
      <c r="U18" s="74">
        <f t="shared" si="15"/>
        <v>0.22080990390588906</v>
      </c>
      <c r="V18" s="74">
        <f t="shared" si="15"/>
        <v>0.22080990390588906</v>
      </c>
      <c r="W18" s="74">
        <f t="shared" si="15"/>
        <v>0.5865701171617087</v>
      </c>
      <c r="X18" s="74">
        <f t="shared" si="15"/>
        <v>0.52163983474173992</v>
      </c>
      <c r="Y18" s="74">
        <f t="shared" si="15"/>
        <v>1.1666589705110755</v>
      </c>
      <c r="Z18" s="74">
        <f t="shared" si="15"/>
        <v>1.5106464628210214</v>
      </c>
      <c r="AA18" s="74">
        <f t="shared" si="15"/>
        <v>1.5106464628210214</v>
      </c>
      <c r="AB18" s="74">
        <f t="shared" si="15"/>
        <v>6.8926518954531224E-2</v>
      </c>
      <c r="AC18" s="74">
        <f t="shared" si="15"/>
        <v>0.14287684264579151</v>
      </c>
      <c r="AD18" s="74">
        <f>AD17/AD$6</f>
        <v>0.22514769993621725</v>
      </c>
      <c r="AE18" s="74">
        <f>AE17/AE$6</f>
        <v>0.19616925300803248</v>
      </c>
      <c r="AF18" s="74">
        <f t="shared" si="7"/>
        <v>0.19616925300803248</v>
      </c>
      <c r="AG18" s="74">
        <f>MEDIAN(AA18,AE18,V18,G18,L18,Q18)</f>
        <v>0.25009453066691345</v>
      </c>
      <c r="AH18" s="74">
        <f>AG18</f>
        <v>0.25009453066691345</v>
      </c>
      <c r="AI18" s="74">
        <f t="shared" ref="AI18:BL18" si="16">AH18</f>
        <v>0.25009453066691345</v>
      </c>
      <c r="AJ18" s="74">
        <f t="shared" si="16"/>
        <v>0.25009453066691345</v>
      </c>
      <c r="AK18" s="74">
        <f t="shared" si="16"/>
        <v>0.25009453066691345</v>
      </c>
      <c r="AL18" s="74">
        <f t="shared" si="16"/>
        <v>0.25009453066691345</v>
      </c>
      <c r="AM18" s="74">
        <f t="shared" si="16"/>
        <v>0.25009453066691345</v>
      </c>
      <c r="AN18" s="74">
        <f t="shared" si="16"/>
        <v>0.25009453066691345</v>
      </c>
      <c r="AO18" s="74">
        <f t="shared" si="16"/>
        <v>0.25009453066691345</v>
      </c>
      <c r="AP18" s="74">
        <f t="shared" si="16"/>
        <v>0.25009453066691345</v>
      </c>
      <c r="AQ18" s="74">
        <f t="shared" si="16"/>
        <v>0.25009453066691345</v>
      </c>
      <c r="AR18" s="74">
        <f t="shared" si="16"/>
        <v>0.25009453066691345</v>
      </c>
      <c r="AS18" s="74">
        <f t="shared" si="16"/>
        <v>0.25009453066691345</v>
      </c>
      <c r="AT18" s="74">
        <f t="shared" si="16"/>
        <v>0.25009453066691345</v>
      </c>
      <c r="AU18" s="74">
        <f t="shared" si="16"/>
        <v>0.25009453066691345</v>
      </c>
      <c r="AV18" s="74">
        <f t="shared" si="16"/>
        <v>0.25009453066691345</v>
      </c>
      <c r="AW18" s="74">
        <f t="shared" si="16"/>
        <v>0.25009453066691345</v>
      </c>
      <c r="AX18" s="74">
        <f t="shared" si="16"/>
        <v>0.25009453066691345</v>
      </c>
      <c r="AY18" s="74">
        <f t="shared" si="16"/>
        <v>0.25009453066691345</v>
      </c>
      <c r="AZ18" s="74">
        <f t="shared" si="16"/>
        <v>0.25009453066691345</v>
      </c>
      <c r="BA18" s="74">
        <f t="shared" si="16"/>
        <v>0.25009453066691345</v>
      </c>
      <c r="BB18" s="74">
        <f t="shared" si="16"/>
        <v>0.25009453066691345</v>
      </c>
      <c r="BC18" s="74">
        <f t="shared" si="16"/>
        <v>0.25009453066691345</v>
      </c>
      <c r="BD18" s="74">
        <f t="shared" si="16"/>
        <v>0.25009453066691345</v>
      </c>
      <c r="BE18" s="74">
        <f t="shared" si="16"/>
        <v>0.25009453066691345</v>
      </c>
      <c r="BF18" s="74">
        <f t="shared" si="16"/>
        <v>0.25009453066691345</v>
      </c>
      <c r="BG18" s="74">
        <f t="shared" si="16"/>
        <v>0.25009453066691345</v>
      </c>
      <c r="BH18" s="74">
        <f t="shared" si="16"/>
        <v>0.25009453066691345</v>
      </c>
      <c r="BI18" s="74">
        <f t="shared" si="16"/>
        <v>0.25009453066691345</v>
      </c>
      <c r="BJ18" s="74">
        <f t="shared" si="16"/>
        <v>0.25009453066691345</v>
      </c>
      <c r="BK18" s="74">
        <f t="shared" si="16"/>
        <v>0.25009453066691345</v>
      </c>
      <c r="BL18" s="74">
        <f t="shared" si="16"/>
        <v>0.25009453066691345</v>
      </c>
      <c r="BM18" s="74">
        <f t="shared" ref="BM18:BW18" si="17">BL18</f>
        <v>0.25009453066691345</v>
      </c>
      <c r="BN18" s="74">
        <f t="shared" si="17"/>
        <v>0.25009453066691345</v>
      </c>
      <c r="BO18" s="74">
        <f t="shared" si="17"/>
        <v>0.25009453066691345</v>
      </c>
      <c r="BP18" s="74">
        <f t="shared" si="17"/>
        <v>0.25009453066691345</v>
      </c>
      <c r="BQ18" s="74">
        <f t="shared" si="17"/>
        <v>0.25009453066691345</v>
      </c>
      <c r="BR18" s="74">
        <f t="shared" si="17"/>
        <v>0.25009453066691345</v>
      </c>
      <c r="BS18" s="74">
        <f t="shared" si="17"/>
        <v>0.25009453066691345</v>
      </c>
      <c r="BT18" s="74">
        <f t="shared" si="17"/>
        <v>0.25009453066691345</v>
      </c>
      <c r="BU18" s="74">
        <f t="shared" si="17"/>
        <v>0.25009453066691345</v>
      </c>
      <c r="BV18" s="74">
        <f t="shared" si="17"/>
        <v>0.25009453066691345</v>
      </c>
      <c r="BW18" s="74">
        <f t="shared" si="17"/>
        <v>0.25009453066691345</v>
      </c>
    </row>
    <row r="19" spans="1:75" x14ac:dyDescent="0.3">
      <c r="A19" s="1" t="s">
        <v>117</v>
      </c>
      <c r="B19" s="47" t="s">
        <v>118</v>
      </c>
      <c r="C19" s="49">
        <v>475776</v>
      </c>
      <c r="D19" s="49">
        <v>652191</v>
      </c>
      <c r="E19" s="49">
        <v>501935</v>
      </c>
      <c r="F19" s="49">
        <v>607441</v>
      </c>
      <c r="G19" s="51">
        <f t="shared" si="9"/>
        <v>607441</v>
      </c>
      <c r="H19" s="49">
        <v>162391</v>
      </c>
      <c r="I19" s="49">
        <v>132872</v>
      </c>
      <c r="J19" s="49">
        <v>252003</v>
      </c>
      <c r="K19" s="49">
        <v>226301</v>
      </c>
      <c r="L19" s="51">
        <f t="shared" si="10"/>
        <v>226301</v>
      </c>
      <c r="M19" s="49">
        <v>102039</v>
      </c>
      <c r="N19" s="49">
        <v>24081</v>
      </c>
      <c r="O19" s="49">
        <v>34009</v>
      </c>
      <c r="P19" s="49">
        <v>22793</v>
      </c>
      <c r="Q19" s="51">
        <f t="shared" si="11"/>
        <v>22793</v>
      </c>
      <c r="R19" s="49">
        <v>77820</v>
      </c>
      <c r="S19" s="49">
        <v>1135096</v>
      </c>
      <c r="T19" s="49">
        <v>2577231</v>
      </c>
      <c r="U19" s="49">
        <v>3680185</v>
      </c>
      <c r="V19" s="51">
        <f t="shared" si="12"/>
        <v>3680185</v>
      </c>
      <c r="W19" s="49">
        <v>2352001</v>
      </c>
      <c r="X19" s="49">
        <v>3365992</v>
      </c>
      <c r="Y19" s="49">
        <v>928879</v>
      </c>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row>
    <row r="20" spans="1:75" x14ac:dyDescent="0.3">
      <c r="B20" s="47" t="s">
        <v>380</v>
      </c>
      <c r="C20"/>
      <c r="D20"/>
      <c r="E20"/>
      <c r="F20" s="74">
        <f t="shared" ref="F20:Y20" si="18">F19/F$6</f>
        <v>0.71554563445318753</v>
      </c>
      <c r="G20" s="74">
        <f t="shared" si="18"/>
        <v>0.71554563445318753</v>
      </c>
      <c r="H20" s="74">
        <f t="shared" si="18"/>
        <v>0.18640007529878466</v>
      </c>
      <c r="I20" s="74">
        <f t="shared" si="18"/>
        <v>0.11263527133951474</v>
      </c>
      <c r="J20" s="74">
        <f t="shared" si="18"/>
        <v>0.18610588412535706</v>
      </c>
      <c r="K20" s="74">
        <f t="shared" si="18"/>
        <v>0.13762371179788196</v>
      </c>
      <c r="L20" s="74">
        <f t="shared" si="18"/>
        <v>0.13762371179788196</v>
      </c>
      <c r="M20" s="74">
        <f t="shared" si="18"/>
        <v>5.904771604506049E-2</v>
      </c>
      <c r="N20" s="74">
        <f t="shared" si="18"/>
        <v>1.6134727419522342E-2</v>
      </c>
      <c r="O20" s="74">
        <f t="shared" si="18"/>
        <v>2.149550136049477E-2</v>
      </c>
      <c r="P20" s="74">
        <f t="shared" si="18"/>
        <v>1.1969950398727015E-2</v>
      </c>
      <c r="Q20" s="74">
        <f t="shared" si="18"/>
        <v>1.1969950398727015E-2</v>
      </c>
      <c r="R20" s="74">
        <f t="shared" si="18"/>
        <v>3.3308265817253102E-2</v>
      </c>
      <c r="S20" s="74">
        <f t="shared" si="18"/>
        <v>0.37254114918732179</v>
      </c>
      <c r="T20" s="74">
        <f t="shared" si="18"/>
        <v>0.73683107553113836</v>
      </c>
      <c r="U20" s="74">
        <f t="shared" si="18"/>
        <v>0.83716617117868208</v>
      </c>
      <c r="V20" s="74">
        <f t="shared" si="18"/>
        <v>0.83716617117868208</v>
      </c>
      <c r="W20" s="74">
        <f t="shared" si="18"/>
        <v>0.44624377497787754</v>
      </c>
      <c r="X20" s="74">
        <f t="shared" si="18"/>
        <v>0.5498358982601883</v>
      </c>
      <c r="Y20" s="74">
        <f t="shared" si="18"/>
        <v>0.12958544971799285</v>
      </c>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row>
    <row r="21" spans="1:75" x14ac:dyDescent="0.3">
      <c r="A21" s="1" t="s">
        <v>119</v>
      </c>
      <c r="B21" s="47" t="s">
        <v>120</v>
      </c>
      <c r="C21" s="49">
        <v>63713</v>
      </c>
      <c r="D21" s="49">
        <v>88073</v>
      </c>
      <c r="E21" s="49">
        <v>37097</v>
      </c>
      <c r="F21" s="49">
        <v>34932</v>
      </c>
      <c r="G21" s="51">
        <f t="shared" si="9"/>
        <v>34932</v>
      </c>
      <c r="H21" s="49">
        <v>18452</v>
      </c>
      <c r="I21" s="49">
        <v>36023</v>
      </c>
      <c r="J21" s="49">
        <v>86047</v>
      </c>
      <c r="K21" s="49">
        <v>374598</v>
      </c>
      <c r="L21" s="51">
        <f t="shared" si="10"/>
        <v>374598</v>
      </c>
      <c r="M21" s="49">
        <v>213830</v>
      </c>
      <c r="N21" s="49">
        <v>210437</v>
      </c>
      <c r="O21" s="49">
        <v>197907</v>
      </c>
      <c r="P21" s="49">
        <v>386165</v>
      </c>
      <c r="Q21" s="51">
        <f t="shared" si="11"/>
        <v>386165</v>
      </c>
      <c r="R21" s="49">
        <v>22568</v>
      </c>
      <c r="S21" s="49">
        <v>329548</v>
      </c>
      <c r="T21" s="49">
        <v>291783</v>
      </c>
      <c r="U21" s="49">
        <v>915033</v>
      </c>
      <c r="V21" s="51">
        <f t="shared" si="12"/>
        <v>915033</v>
      </c>
      <c r="W21" s="49">
        <v>845187</v>
      </c>
      <c r="X21" s="49">
        <v>888980</v>
      </c>
      <c r="Y21" s="49">
        <v>1079329</v>
      </c>
      <c r="Z21" s="49">
        <v>166304</v>
      </c>
      <c r="AA21" s="51">
        <f t="shared" si="13"/>
        <v>166304</v>
      </c>
      <c r="AB21" s="49">
        <v>2230118</v>
      </c>
      <c r="AC21" s="49">
        <v>1357896</v>
      </c>
      <c r="AD21" s="49">
        <v>1613769</v>
      </c>
      <c r="AE21" s="49">
        <v>1743491</v>
      </c>
      <c r="AF21" s="51">
        <f t="shared" ref="AF21" si="19">AE21</f>
        <v>1743491</v>
      </c>
      <c r="AG21" s="51">
        <f t="shared" ref="AG21:BW21" ca="1" si="20">AG6/(AG9)*AG22</f>
        <v>2323928.723823247</v>
      </c>
      <c r="AH21" s="51">
        <f t="shared" ca="1" si="20"/>
        <v>2889463.1296297899</v>
      </c>
      <c r="AI21" s="51">
        <f t="shared" ca="1" si="20"/>
        <v>2946127.2349168495</v>
      </c>
      <c r="AJ21" s="51">
        <f t="shared" ca="1" si="20"/>
        <v>3031633.0195829575</v>
      </c>
      <c r="AK21" s="51">
        <f t="shared" ca="1" si="20"/>
        <v>2914163.9809236769</v>
      </c>
      <c r="AL21" s="51">
        <f t="shared" ca="1" si="20"/>
        <v>2954556.4696781202</v>
      </c>
      <c r="AM21" s="51">
        <f t="shared" ca="1" si="20"/>
        <v>2695870.0405642064</v>
      </c>
      <c r="AN21" s="51">
        <f t="shared" ca="1" si="20"/>
        <v>2306734.464767151</v>
      </c>
      <c r="AO21" s="51">
        <f t="shared" ca="1" si="20"/>
        <v>2049082.1607326856</v>
      </c>
      <c r="AP21" s="51">
        <f t="shared" ca="1" si="20"/>
        <v>1849323.9758386696</v>
      </c>
      <c r="AQ21" s="51">
        <f t="shared" ca="1" si="20"/>
        <v>1677404.1097010975</v>
      </c>
      <c r="AR21" s="51">
        <f t="shared" ca="1" si="20"/>
        <v>1502825.9290103251</v>
      </c>
      <c r="AS21" s="51">
        <f t="shared" ca="1" si="20"/>
        <v>1323100.3205071061</v>
      </c>
      <c r="AT21" s="51">
        <f t="shared" ca="1" si="20"/>
        <v>1176515.8654823869</v>
      </c>
      <c r="AU21" s="51">
        <f t="shared" ca="1" si="20"/>
        <v>1068521.2643416247</v>
      </c>
      <c r="AV21" s="51">
        <f t="shared" ca="1" si="20"/>
        <v>975396.38139560737</v>
      </c>
      <c r="AW21" s="51">
        <f t="shared" ca="1" si="20"/>
        <v>789564.15162411856</v>
      </c>
      <c r="AX21" s="51">
        <f t="shared" ca="1" si="20"/>
        <v>714519.86055795685</v>
      </c>
      <c r="AY21" s="51">
        <f t="shared" ca="1" si="20"/>
        <v>646779.82256867131</v>
      </c>
      <c r="AZ21" s="51">
        <f t="shared" ca="1" si="20"/>
        <v>582704.53732864407</v>
      </c>
      <c r="BA21" s="51">
        <f t="shared" ca="1" si="20"/>
        <v>531672.16287869075</v>
      </c>
      <c r="BB21" s="51">
        <f t="shared" ca="1" si="20"/>
        <v>477109.77254887566</v>
      </c>
      <c r="BC21" s="51">
        <f t="shared" ca="1" si="20"/>
        <v>445331.47231728258</v>
      </c>
      <c r="BD21" s="51">
        <f t="shared" ca="1" si="20"/>
        <v>420520.97666160139</v>
      </c>
      <c r="BE21" s="51">
        <f t="shared" ca="1" si="20"/>
        <v>398508.2947224055</v>
      </c>
      <c r="BF21" s="51">
        <f t="shared" ca="1" si="20"/>
        <v>360680.2020274711</v>
      </c>
      <c r="BG21" s="51">
        <f t="shared" ca="1" si="20"/>
        <v>338730.33517697465</v>
      </c>
      <c r="BH21" s="51">
        <f t="shared" ca="1" si="20"/>
        <v>324874.18378650001</v>
      </c>
      <c r="BI21" s="51">
        <f t="shared" ca="1" si="20"/>
        <v>209355.54210932623</v>
      </c>
      <c r="BJ21" s="51">
        <f ca="1">BJ6/(BJ9)*BJ22</f>
        <v>0</v>
      </c>
      <c r="BK21" s="51">
        <f t="shared" ca="1" si="20"/>
        <v>0</v>
      </c>
      <c r="BL21" s="51">
        <f t="shared" ca="1" si="20"/>
        <v>0</v>
      </c>
      <c r="BM21" s="51">
        <f t="shared" ca="1" si="20"/>
        <v>0</v>
      </c>
      <c r="BN21" s="51">
        <f t="shared" ca="1" si="20"/>
        <v>0</v>
      </c>
      <c r="BO21" s="51">
        <f t="shared" ca="1" si="20"/>
        <v>0</v>
      </c>
      <c r="BP21" s="51">
        <f t="shared" ca="1" si="20"/>
        <v>0</v>
      </c>
      <c r="BQ21" s="51">
        <f t="shared" ca="1" si="20"/>
        <v>0</v>
      </c>
      <c r="BR21" s="51">
        <f t="shared" ca="1" si="20"/>
        <v>0</v>
      </c>
      <c r="BS21" s="51">
        <f t="shared" ca="1" si="20"/>
        <v>0</v>
      </c>
      <c r="BT21" s="51">
        <f t="shared" ca="1" si="20"/>
        <v>0</v>
      </c>
      <c r="BU21" s="51">
        <f t="shared" ca="1" si="20"/>
        <v>0</v>
      </c>
      <c r="BV21" s="51">
        <f t="shared" ca="1" si="20"/>
        <v>0</v>
      </c>
      <c r="BW21" s="51">
        <f t="shared" ca="1" si="20"/>
        <v>0</v>
      </c>
    </row>
    <row r="22" spans="1:75" x14ac:dyDescent="0.3">
      <c r="B22" s="47" t="s">
        <v>541</v>
      </c>
      <c r="C22"/>
      <c r="D22"/>
      <c r="E22"/>
      <c r="F22" s="98">
        <f>F21/(F6/(F9+E9+D9+C9))</f>
        <v>15.019295104367902</v>
      </c>
      <c r="G22" s="98">
        <f>G21/(G6/(G9))</f>
        <v>15.019295104367902</v>
      </c>
      <c r="H22" s="98">
        <f>H21/(H6/(H9+F9+E9+D9))</f>
        <v>7.7307287912249363</v>
      </c>
      <c r="I22" s="98">
        <f>I21/(I6/(I9+H9+F9+E9))</f>
        <v>11.145862472937255</v>
      </c>
      <c r="J22" s="98">
        <f>J21/(J6/(J9+I9+H9+F9))</f>
        <v>23.194391928418032</v>
      </c>
      <c r="K22" s="98">
        <f>K21/(K6/(K9+J9+I9+H9))</f>
        <v>83.150547390877591</v>
      </c>
      <c r="L22" s="98">
        <f>L21/(L6/(L9))</f>
        <v>83.150547390877591</v>
      </c>
      <c r="M22" s="98">
        <f>M21/(M6/(M9+K9+J9+I9))</f>
        <v>45.288363886562927</v>
      </c>
      <c r="N22" s="98">
        <f>N21/(N6/(N9+M9+K9+J9))</f>
        <v>51.604824136764279</v>
      </c>
      <c r="O22" s="98">
        <f>O21/(O6/(O9+N9+M9+K9))</f>
        <v>45.782126164163209</v>
      </c>
      <c r="P22" s="98">
        <f>P21/(P6/(P9+O9+N9+M9))</f>
        <v>74.224085369856397</v>
      </c>
      <c r="Q22" s="98">
        <f>Q21/(Q6/(Q9))</f>
        <v>74.224085369856397</v>
      </c>
      <c r="R22" s="98">
        <f>R21/(R6/(R9+P9+O9+N9))</f>
        <v>3.5257111819811784</v>
      </c>
      <c r="S22" s="98">
        <f>S21/(S6/(S9+R9+P9+O9))</f>
        <v>39.477823532828936</v>
      </c>
      <c r="T22" s="98">
        <f>T21/(T6/(T9+S9+R9+P9))</f>
        <v>30.448607565550503</v>
      </c>
      <c r="U22" s="98">
        <f>U21/(U6/(U9+T9+S9+R9))</f>
        <v>75.975163119770386</v>
      </c>
      <c r="V22" s="98">
        <f>V21/(V6/(V9))</f>
        <v>75.975163119770386</v>
      </c>
      <c r="W22" s="98">
        <f>W21/(W6/(W9+U9+T9+S9))</f>
        <v>58.53024495585376</v>
      </c>
      <c r="X22" s="98">
        <f>X21/(X6/(X9+W9+U9+T9))</f>
        <v>53.003538821512329</v>
      </c>
      <c r="Y22" s="98">
        <f>Y21/(Y6/(Y9+X9+W9+U9))</f>
        <v>54.959630757520742</v>
      </c>
      <c r="Z22" s="98">
        <f>Z21/(Z6/(Z9+Y9+X9+W9))</f>
        <v>9.5389641665913665</v>
      </c>
      <c r="AA22" s="98">
        <f>AA21/(AA6/(AA9))</f>
        <v>9.5389641665913665</v>
      </c>
      <c r="AB22" s="98">
        <f>AB21/(AB6/(AB9+AA9+Y9+X9))</f>
        <v>186.02698251341616</v>
      </c>
      <c r="AC22" s="98">
        <f>AC21/(AC6/(AC9+AB9+Z9+Y9))</f>
        <v>61.297690626462469</v>
      </c>
      <c r="AD22" s="98">
        <f>AD21/(AD6/(AD9+AC9+AB9+Z9))</f>
        <v>59.596558504472888</v>
      </c>
      <c r="AE22" s="98">
        <f>AE21/(AE6/(AE9+AD9+AC9+AB9))</f>
        <v>53.454180880183443</v>
      </c>
      <c r="AF22" s="98">
        <f>AE22</f>
        <v>53.454180880183443</v>
      </c>
      <c r="AG22" s="98">
        <f>AVERAGE(AF22,AA22,V22,Q22,L22,G22)</f>
        <v>51.893706005274517</v>
      </c>
      <c r="AH22" s="98">
        <f t="shared" ref="AH22:BL22" si="21">AG22</f>
        <v>51.893706005274517</v>
      </c>
      <c r="AI22" s="98">
        <f t="shared" si="21"/>
        <v>51.893706005274517</v>
      </c>
      <c r="AJ22" s="98">
        <f t="shared" si="21"/>
        <v>51.893706005274517</v>
      </c>
      <c r="AK22" s="98">
        <f t="shared" si="21"/>
        <v>51.893706005274517</v>
      </c>
      <c r="AL22" s="98">
        <f t="shared" si="21"/>
        <v>51.893706005274517</v>
      </c>
      <c r="AM22" s="98">
        <f t="shared" si="21"/>
        <v>51.893706005274517</v>
      </c>
      <c r="AN22" s="98">
        <f t="shared" si="21"/>
        <v>51.893706005274517</v>
      </c>
      <c r="AO22" s="98">
        <f t="shared" si="21"/>
        <v>51.893706005274517</v>
      </c>
      <c r="AP22" s="98">
        <f t="shared" si="21"/>
        <v>51.893706005274517</v>
      </c>
      <c r="AQ22" s="98">
        <f t="shared" si="21"/>
        <v>51.893706005274517</v>
      </c>
      <c r="AR22" s="98">
        <f t="shared" si="21"/>
        <v>51.893706005274517</v>
      </c>
      <c r="AS22" s="98">
        <f t="shared" si="21"/>
        <v>51.893706005274517</v>
      </c>
      <c r="AT22" s="98">
        <f t="shared" si="21"/>
        <v>51.893706005274517</v>
      </c>
      <c r="AU22" s="98">
        <f t="shared" si="21"/>
        <v>51.893706005274517</v>
      </c>
      <c r="AV22" s="98">
        <f t="shared" si="21"/>
        <v>51.893706005274517</v>
      </c>
      <c r="AW22" s="98">
        <f t="shared" si="21"/>
        <v>51.893706005274517</v>
      </c>
      <c r="AX22" s="98">
        <f t="shared" si="21"/>
        <v>51.893706005274517</v>
      </c>
      <c r="AY22" s="98">
        <f t="shared" si="21"/>
        <v>51.893706005274517</v>
      </c>
      <c r="AZ22" s="98">
        <f t="shared" si="21"/>
        <v>51.893706005274517</v>
      </c>
      <c r="BA22" s="98">
        <f t="shared" si="21"/>
        <v>51.893706005274517</v>
      </c>
      <c r="BB22" s="98">
        <f t="shared" si="21"/>
        <v>51.893706005274517</v>
      </c>
      <c r="BC22" s="98">
        <f t="shared" si="21"/>
        <v>51.893706005274517</v>
      </c>
      <c r="BD22" s="98">
        <f t="shared" si="21"/>
        <v>51.893706005274517</v>
      </c>
      <c r="BE22" s="98">
        <f t="shared" si="21"/>
        <v>51.893706005274517</v>
      </c>
      <c r="BF22" s="98">
        <f t="shared" si="21"/>
        <v>51.893706005274517</v>
      </c>
      <c r="BG22" s="98">
        <f t="shared" si="21"/>
        <v>51.893706005274517</v>
      </c>
      <c r="BH22" s="98">
        <f t="shared" si="21"/>
        <v>51.893706005274517</v>
      </c>
      <c r="BI22" s="98">
        <f t="shared" si="21"/>
        <v>51.893706005274517</v>
      </c>
      <c r="BJ22" s="98">
        <f t="shared" si="21"/>
        <v>51.893706005274517</v>
      </c>
      <c r="BK22" s="98">
        <f t="shared" si="21"/>
        <v>51.893706005274517</v>
      </c>
      <c r="BL22" s="98">
        <f t="shared" si="21"/>
        <v>51.893706005274517</v>
      </c>
      <c r="BM22" s="98">
        <f t="shared" ref="BM22:BW22" si="22">BL22</f>
        <v>51.893706005274517</v>
      </c>
      <c r="BN22" s="98">
        <f t="shared" si="22"/>
        <v>51.893706005274517</v>
      </c>
      <c r="BO22" s="98">
        <f t="shared" si="22"/>
        <v>51.893706005274517</v>
      </c>
      <c r="BP22" s="98">
        <f t="shared" si="22"/>
        <v>51.893706005274517</v>
      </c>
      <c r="BQ22" s="98">
        <f t="shared" si="22"/>
        <v>51.893706005274517</v>
      </c>
      <c r="BR22" s="98">
        <f t="shared" si="22"/>
        <v>51.893706005274517</v>
      </c>
      <c r="BS22" s="98">
        <f t="shared" si="22"/>
        <v>51.893706005274517</v>
      </c>
      <c r="BT22" s="98">
        <f t="shared" si="22"/>
        <v>51.893706005274517</v>
      </c>
      <c r="BU22" s="98">
        <f t="shared" si="22"/>
        <v>51.893706005274517</v>
      </c>
      <c r="BV22" s="98">
        <f t="shared" si="22"/>
        <v>51.893706005274517</v>
      </c>
      <c r="BW22" s="98">
        <f t="shared" si="22"/>
        <v>51.893706005274517</v>
      </c>
    </row>
    <row r="23" spans="1:75" x14ac:dyDescent="0.3">
      <c r="A23" s="1" t="s">
        <v>121</v>
      </c>
      <c r="B23" s="47" t="s">
        <v>122</v>
      </c>
      <c r="C23" s="49">
        <v>60054</v>
      </c>
      <c r="D23" s="49">
        <v>47596</v>
      </c>
      <c r="E23" s="49">
        <v>81815</v>
      </c>
      <c r="F23" s="49">
        <v>58298</v>
      </c>
      <c r="G23" s="51">
        <f t="shared" si="9"/>
        <v>58298</v>
      </c>
      <c r="H23" s="49">
        <v>176505</v>
      </c>
      <c r="I23" s="49">
        <v>93641</v>
      </c>
      <c r="J23" s="49">
        <v>128588</v>
      </c>
      <c r="K23" s="49">
        <v>125474</v>
      </c>
      <c r="L23" s="51">
        <f t="shared" si="10"/>
        <v>125474</v>
      </c>
      <c r="M23" s="49">
        <v>158642</v>
      </c>
      <c r="N23" s="49">
        <v>249998</v>
      </c>
      <c r="O23" s="49">
        <v>332471</v>
      </c>
      <c r="P23" s="49">
        <v>194666</v>
      </c>
      <c r="Q23" s="51">
        <f t="shared" si="11"/>
        <v>194666</v>
      </c>
      <c r="R23" s="49">
        <v>395781</v>
      </c>
      <c r="S23" s="49">
        <v>382438</v>
      </c>
      <c r="T23" s="49">
        <v>384679</v>
      </c>
      <c r="U23" s="49">
        <v>217536</v>
      </c>
      <c r="V23" s="51">
        <f t="shared" si="12"/>
        <v>217536</v>
      </c>
      <c r="W23" s="49">
        <v>281174</v>
      </c>
      <c r="X23" s="49">
        <v>275693</v>
      </c>
      <c r="Y23" s="49">
        <v>338514</v>
      </c>
      <c r="Z23" s="49">
        <v>453425</v>
      </c>
      <c r="AA23" s="51">
        <f t="shared" si="13"/>
        <v>453425</v>
      </c>
      <c r="AB23" s="49">
        <v>599614</v>
      </c>
      <c r="AC23" s="49">
        <v>729200</v>
      </c>
      <c r="AD23" s="49">
        <f>258684+403781</f>
        <v>662465</v>
      </c>
      <c r="AE23" s="49">
        <v>651651</v>
      </c>
      <c r="AF23" s="51">
        <f t="shared" ref="AF23:AF32" si="23">AE23</f>
        <v>651651</v>
      </c>
      <c r="AG23" s="51">
        <f t="shared" ref="AG23:BW23" ca="1" si="24">AG24*AG6</f>
        <v>1154666.5141511669</v>
      </c>
      <c r="AH23" s="51">
        <f t="shared" ca="1" si="24"/>
        <v>1473362.9000352221</v>
      </c>
      <c r="AI23" s="51">
        <f t="shared" ca="1" si="24"/>
        <v>1502256.4303376283</v>
      </c>
      <c r="AJ23" s="51">
        <f t="shared" ca="1" si="24"/>
        <v>1545856.5889877181</v>
      </c>
      <c r="AK23" s="51">
        <f t="shared" ca="1" si="24"/>
        <v>1490029.2014201409</v>
      </c>
      <c r="AL23" s="51">
        <f t="shared" ca="1" si="24"/>
        <v>1506554.5719700966</v>
      </c>
      <c r="AM23" s="51">
        <f t="shared" ca="1" si="24"/>
        <v>1374648.0653631527</v>
      </c>
      <c r="AN23" s="51">
        <f t="shared" ca="1" si="24"/>
        <v>1176224.3808440552</v>
      </c>
      <c r="AO23" s="51">
        <f t="shared" ca="1" si="24"/>
        <v>1047707.7733398642</v>
      </c>
      <c r="AP23" s="51">
        <f t="shared" ca="1" si="24"/>
        <v>942986.71203166805</v>
      </c>
      <c r="AQ23" s="51">
        <f t="shared" ca="1" si="24"/>
        <v>855323.24612733803</v>
      </c>
      <c r="AR23" s="51">
        <f t="shared" ca="1" si="24"/>
        <v>766304.28203403763</v>
      </c>
      <c r="AS23" s="51">
        <f t="shared" ca="1" si="24"/>
        <v>676508.98400681629</v>
      </c>
      <c r="AT23" s="51">
        <f t="shared" ca="1" si="24"/>
        <v>599915.88393331529</v>
      </c>
      <c r="AU23" s="51">
        <f t="shared" ca="1" si="24"/>
        <v>544848.47812589561</v>
      </c>
      <c r="AV23" s="51">
        <f t="shared" ca="1" si="24"/>
        <v>497363.27362689778</v>
      </c>
      <c r="AW23" s="51">
        <f t="shared" ca="1" si="24"/>
        <v>403708.79951016343</v>
      </c>
      <c r="AX23" s="51">
        <f t="shared" ca="1" si="24"/>
        <v>364340.01980821829</v>
      </c>
      <c r="AY23" s="51">
        <f t="shared" ca="1" si="24"/>
        <v>329798.7730980803</v>
      </c>
      <c r="AZ23" s="51">
        <f t="shared" ca="1" si="24"/>
        <v>297126.21634739893</v>
      </c>
      <c r="BA23" s="51">
        <f t="shared" ca="1" si="24"/>
        <v>271847.10725178744</v>
      </c>
      <c r="BB23" s="51">
        <f t="shared" ca="1" si="24"/>
        <v>243282.50840419004</v>
      </c>
      <c r="BC23" s="51">
        <f t="shared" ca="1" si="24"/>
        <v>227078.47101492982</v>
      </c>
      <c r="BD23" s="51">
        <f t="shared" ca="1" si="24"/>
        <v>214427.37903326843</v>
      </c>
      <c r="BE23" s="51">
        <f t="shared" ca="1" si="24"/>
        <v>203759.63742312122</v>
      </c>
      <c r="BF23" s="51">
        <f t="shared" ca="1" si="24"/>
        <v>183914.03683097748</v>
      </c>
      <c r="BG23" s="51">
        <f t="shared" ca="1" si="24"/>
        <v>172721.60487134973</v>
      </c>
      <c r="BH23" s="51">
        <f t="shared" ca="1" si="24"/>
        <v>165656.2302740236</v>
      </c>
      <c r="BI23" s="51">
        <f t="shared" ca="1" si="24"/>
        <v>107044.72132112665</v>
      </c>
      <c r="BJ23" s="51">
        <f t="shared" ca="1" si="24"/>
        <v>0</v>
      </c>
      <c r="BK23" s="51">
        <f t="shared" ca="1" si="24"/>
        <v>0</v>
      </c>
      <c r="BL23" s="51">
        <f t="shared" ca="1" si="24"/>
        <v>0</v>
      </c>
      <c r="BM23" s="51">
        <f t="shared" ca="1" si="24"/>
        <v>0</v>
      </c>
      <c r="BN23" s="51">
        <f t="shared" ca="1" si="24"/>
        <v>0</v>
      </c>
      <c r="BO23" s="51">
        <f t="shared" ca="1" si="24"/>
        <v>0</v>
      </c>
      <c r="BP23" s="51">
        <f t="shared" ca="1" si="24"/>
        <v>0</v>
      </c>
      <c r="BQ23" s="51">
        <f t="shared" ca="1" si="24"/>
        <v>0</v>
      </c>
      <c r="BR23" s="51">
        <f t="shared" ca="1" si="24"/>
        <v>0</v>
      </c>
      <c r="BS23" s="51">
        <f t="shared" ca="1" si="24"/>
        <v>0</v>
      </c>
      <c r="BT23" s="51">
        <f t="shared" ca="1" si="24"/>
        <v>0</v>
      </c>
      <c r="BU23" s="51">
        <f t="shared" ca="1" si="24"/>
        <v>0</v>
      </c>
      <c r="BV23" s="51">
        <f t="shared" ca="1" si="24"/>
        <v>0</v>
      </c>
      <c r="BW23" s="51">
        <f t="shared" ca="1" si="24"/>
        <v>0</v>
      </c>
    </row>
    <row r="24" spans="1:75" x14ac:dyDescent="0.3">
      <c r="B24" s="47" t="s">
        <v>542</v>
      </c>
      <c r="C24"/>
      <c r="D24"/>
      <c r="E24"/>
      <c r="F24" s="74">
        <f>F23/F$6</f>
        <v>6.8673137633699283E-2</v>
      </c>
      <c r="G24" s="74">
        <f t="shared" ref="G24:AE24" si="25">G23/G$6</f>
        <v>6.8673137633699283E-2</v>
      </c>
      <c r="H24" s="74">
        <f t="shared" si="25"/>
        <v>0.20260079247379464</v>
      </c>
      <c r="I24" s="74">
        <f t="shared" si="25"/>
        <v>7.937924802444081E-2</v>
      </c>
      <c r="J24" s="74">
        <f t="shared" si="25"/>
        <v>9.4963089439059914E-2</v>
      </c>
      <c r="K24" s="74">
        <f t="shared" si="25"/>
        <v>7.6306324824580718E-2</v>
      </c>
      <c r="L24" s="74">
        <f t="shared" si="25"/>
        <v>7.6306324824580718E-2</v>
      </c>
      <c r="M24" s="74">
        <f t="shared" si="25"/>
        <v>9.1802622221116306E-2</v>
      </c>
      <c r="N24" s="74">
        <f t="shared" si="25"/>
        <v>0.16750340872163727</v>
      </c>
      <c r="O24" s="74">
        <f t="shared" si="25"/>
        <v>0.21013939935973</v>
      </c>
      <c r="P24" s="74">
        <f t="shared" si="25"/>
        <v>0.10223061309694173</v>
      </c>
      <c r="Q24" s="74">
        <f t="shared" si="25"/>
        <v>0.10223061309694173</v>
      </c>
      <c r="R24" s="74">
        <f t="shared" si="25"/>
        <v>0.16940090919324402</v>
      </c>
      <c r="S24" s="74">
        <f t="shared" si="25"/>
        <v>0.12551704174175662</v>
      </c>
      <c r="T24" s="74">
        <f t="shared" si="25"/>
        <v>0.1099798354529504</v>
      </c>
      <c r="U24" s="74">
        <f t="shared" si="25"/>
        <v>4.948495258078759E-2</v>
      </c>
      <c r="V24" s="74">
        <f t="shared" si="25"/>
        <v>4.948495258078759E-2</v>
      </c>
      <c r="W24" s="74">
        <f t="shared" si="25"/>
        <v>5.334697867289586E-2</v>
      </c>
      <c r="X24" s="74">
        <f t="shared" si="25"/>
        <v>4.5034542060422636E-2</v>
      </c>
      <c r="Y24" s="74">
        <f t="shared" si="25"/>
        <v>4.7225191791219992E-2</v>
      </c>
      <c r="Z24" s="74">
        <f t="shared" si="25"/>
        <v>7.1254306805636852E-2</v>
      </c>
      <c r="AA24" s="74">
        <f t="shared" si="25"/>
        <v>7.1254306805636852E-2</v>
      </c>
      <c r="AB24" s="74">
        <f t="shared" si="25"/>
        <v>7.8396953102170569E-2</v>
      </c>
      <c r="AC24" s="74">
        <f t="shared" si="25"/>
        <v>9.0184395675502391E-2</v>
      </c>
      <c r="AD24" s="74">
        <f t="shared" si="25"/>
        <v>6.7027016198225098E-2</v>
      </c>
      <c r="AE24" s="74">
        <f t="shared" si="25"/>
        <v>5.4737400736377138E-2</v>
      </c>
      <c r="AF24" s="74">
        <f t="shared" si="23"/>
        <v>5.4737400736377138E-2</v>
      </c>
      <c r="AG24" s="74">
        <f>AVERAGE(AF24,AA24,V24,Q24,L24,G24)</f>
        <v>7.0447789279670547E-2</v>
      </c>
      <c r="AH24" s="74">
        <f t="shared" ref="AH24:BW24" si="26">AVERAGE($AD$24,$AA$24,$V$24,$Q$24,$L$24,$G$24)</f>
        <v>7.2496058523311868E-2</v>
      </c>
      <c r="AI24" s="74">
        <f t="shared" si="26"/>
        <v>7.2496058523311868E-2</v>
      </c>
      <c r="AJ24" s="74">
        <f t="shared" si="26"/>
        <v>7.2496058523311868E-2</v>
      </c>
      <c r="AK24" s="74">
        <f t="shared" si="26"/>
        <v>7.2496058523311868E-2</v>
      </c>
      <c r="AL24" s="74">
        <f t="shared" si="26"/>
        <v>7.2496058523311868E-2</v>
      </c>
      <c r="AM24" s="74">
        <f t="shared" si="26"/>
        <v>7.2496058523311868E-2</v>
      </c>
      <c r="AN24" s="74">
        <f t="shared" si="26"/>
        <v>7.2496058523311868E-2</v>
      </c>
      <c r="AO24" s="74">
        <f t="shared" si="26"/>
        <v>7.2496058523311868E-2</v>
      </c>
      <c r="AP24" s="74">
        <f t="shared" si="26"/>
        <v>7.2496058523311868E-2</v>
      </c>
      <c r="AQ24" s="74">
        <f t="shared" si="26"/>
        <v>7.2496058523311868E-2</v>
      </c>
      <c r="AR24" s="74">
        <f t="shared" si="26"/>
        <v>7.2496058523311868E-2</v>
      </c>
      <c r="AS24" s="74">
        <f t="shared" si="26"/>
        <v>7.2496058523311868E-2</v>
      </c>
      <c r="AT24" s="74">
        <f t="shared" si="26"/>
        <v>7.2496058523311868E-2</v>
      </c>
      <c r="AU24" s="74">
        <f t="shared" si="26"/>
        <v>7.2496058523311868E-2</v>
      </c>
      <c r="AV24" s="74">
        <f t="shared" si="26"/>
        <v>7.2496058523311868E-2</v>
      </c>
      <c r="AW24" s="74">
        <f t="shared" si="26"/>
        <v>7.2496058523311868E-2</v>
      </c>
      <c r="AX24" s="74">
        <f t="shared" si="26"/>
        <v>7.2496058523311868E-2</v>
      </c>
      <c r="AY24" s="74">
        <f t="shared" si="26"/>
        <v>7.2496058523311868E-2</v>
      </c>
      <c r="AZ24" s="74">
        <f t="shared" si="26"/>
        <v>7.2496058523311868E-2</v>
      </c>
      <c r="BA24" s="74">
        <f t="shared" si="26"/>
        <v>7.2496058523311868E-2</v>
      </c>
      <c r="BB24" s="74">
        <f t="shared" si="26"/>
        <v>7.2496058523311868E-2</v>
      </c>
      <c r="BC24" s="74">
        <f t="shared" si="26"/>
        <v>7.2496058523311868E-2</v>
      </c>
      <c r="BD24" s="74">
        <f t="shared" si="26"/>
        <v>7.2496058523311868E-2</v>
      </c>
      <c r="BE24" s="74">
        <f t="shared" si="26"/>
        <v>7.2496058523311868E-2</v>
      </c>
      <c r="BF24" s="74">
        <f t="shared" si="26"/>
        <v>7.2496058523311868E-2</v>
      </c>
      <c r="BG24" s="74">
        <f t="shared" si="26"/>
        <v>7.2496058523311868E-2</v>
      </c>
      <c r="BH24" s="74">
        <f t="shared" si="26"/>
        <v>7.2496058523311868E-2</v>
      </c>
      <c r="BI24" s="74">
        <f t="shared" si="26"/>
        <v>7.2496058523311868E-2</v>
      </c>
      <c r="BJ24" s="74">
        <f t="shared" si="26"/>
        <v>7.2496058523311868E-2</v>
      </c>
      <c r="BK24" s="74">
        <f t="shared" si="26"/>
        <v>7.2496058523311868E-2</v>
      </c>
      <c r="BL24" s="74">
        <f t="shared" si="26"/>
        <v>7.2496058523311868E-2</v>
      </c>
      <c r="BM24" s="74">
        <f t="shared" si="26"/>
        <v>7.2496058523311868E-2</v>
      </c>
      <c r="BN24" s="74">
        <f t="shared" si="26"/>
        <v>7.2496058523311868E-2</v>
      </c>
      <c r="BO24" s="74">
        <f t="shared" si="26"/>
        <v>7.2496058523311868E-2</v>
      </c>
      <c r="BP24" s="74">
        <f t="shared" si="26"/>
        <v>7.2496058523311868E-2</v>
      </c>
      <c r="BQ24" s="74">
        <f t="shared" si="26"/>
        <v>7.2496058523311868E-2</v>
      </c>
      <c r="BR24" s="74">
        <f t="shared" si="26"/>
        <v>7.2496058523311868E-2</v>
      </c>
      <c r="BS24" s="74">
        <f t="shared" si="26"/>
        <v>7.2496058523311868E-2</v>
      </c>
      <c r="BT24" s="74">
        <f t="shared" si="26"/>
        <v>7.2496058523311868E-2</v>
      </c>
      <c r="BU24" s="74">
        <f t="shared" si="26"/>
        <v>7.2496058523311868E-2</v>
      </c>
      <c r="BV24" s="74">
        <f t="shared" si="26"/>
        <v>7.2496058523311868E-2</v>
      </c>
      <c r="BW24" s="74">
        <f t="shared" si="26"/>
        <v>7.2496058523311868E-2</v>
      </c>
    </row>
    <row r="25" spans="1:75" x14ac:dyDescent="0.3">
      <c r="A25" s="1" t="s">
        <v>123</v>
      </c>
      <c r="B25" s="47" t="s">
        <v>124</v>
      </c>
      <c r="C25" s="49">
        <v>54721</v>
      </c>
      <c r="D25" s="49">
        <v>63079</v>
      </c>
      <c r="E25" s="49">
        <v>76443</v>
      </c>
      <c r="F25" s="49">
        <v>67011</v>
      </c>
      <c r="G25" s="51">
        <f t="shared" si="9"/>
        <v>67011</v>
      </c>
      <c r="H25" s="49">
        <v>122682</v>
      </c>
      <c r="I25" s="49">
        <v>90764</v>
      </c>
      <c r="J25" s="49">
        <v>74888</v>
      </c>
      <c r="K25" s="49">
        <v>116773</v>
      </c>
      <c r="L25" s="51">
        <f t="shared" si="10"/>
        <v>116773</v>
      </c>
      <c r="M25" s="49">
        <v>136036</v>
      </c>
      <c r="N25" s="49">
        <v>140727</v>
      </c>
      <c r="O25" s="49">
        <v>142240</v>
      </c>
      <c r="P25" s="49">
        <v>124321</v>
      </c>
      <c r="Q25" s="51">
        <f t="shared" si="11"/>
        <v>124321</v>
      </c>
      <c r="R25" s="49">
        <v>105144</v>
      </c>
      <c r="S25" s="49">
        <v>84757</v>
      </c>
      <c r="T25" s="49">
        <v>76977</v>
      </c>
      <c r="U25" s="49">
        <v>85839</v>
      </c>
      <c r="V25" s="51">
        <f t="shared" si="12"/>
        <v>85839</v>
      </c>
      <c r="W25" s="49">
        <v>56077</v>
      </c>
      <c r="X25" s="49">
        <v>44358</v>
      </c>
      <c r="Y25" s="49">
        <v>47006</v>
      </c>
      <c r="Z25" s="49">
        <v>76012</v>
      </c>
      <c r="AA25" s="51">
        <f t="shared" si="13"/>
        <v>76012</v>
      </c>
      <c r="AB25" s="49">
        <v>92436</v>
      </c>
      <c r="AC25" s="49">
        <v>199217</v>
      </c>
      <c r="AD25" s="49">
        <v>262462</v>
      </c>
      <c r="AE25" s="49">
        <v>347658</v>
      </c>
      <c r="AF25" s="51">
        <f t="shared" si="23"/>
        <v>347658</v>
      </c>
      <c r="AG25" s="51">
        <f t="shared" ref="AG25:BL25" si="27">AF25</f>
        <v>347658</v>
      </c>
      <c r="AH25" s="51">
        <f t="shared" si="27"/>
        <v>347658</v>
      </c>
      <c r="AI25" s="51">
        <f t="shared" si="27"/>
        <v>347658</v>
      </c>
      <c r="AJ25" s="51">
        <f t="shared" si="27"/>
        <v>347658</v>
      </c>
      <c r="AK25" s="51">
        <f t="shared" si="27"/>
        <v>347658</v>
      </c>
      <c r="AL25" s="51">
        <f t="shared" si="27"/>
        <v>347658</v>
      </c>
      <c r="AM25" s="51">
        <f t="shared" si="27"/>
        <v>347658</v>
      </c>
      <c r="AN25" s="51">
        <f t="shared" si="27"/>
        <v>347658</v>
      </c>
      <c r="AO25" s="51">
        <f t="shared" si="27"/>
        <v>347658</v>
      </c>
      <c r="AP25" s="51">
        <f t="shared" si="27"/>
        <v>347658</v>
      </c>
      <c r="AQ25" s="51">
        <f t="shared" si="27"/>
        <v>347658</v>
      </c>
      <c r="AR25" s="51">
        <f t="shared" si="27"/>
        <v>347658</v>
      </c>
      <c r="AS25" s="51">
        <f t="shared" si="27"/>
        <v>347658</v>
      </c>
      <c r="AT25" s="51">
        <f t="shared" si="27"/>
        <v>347658</v>
      </c>
      <c r="AU25" s="51">
        <f t="shared" si="27"/>
        <v>347658</v>
      </c>
      <c r="AV25" s="51">
        <f t="shared" si="27"/>
        <v>347658</v>
      </c>
      <c r="AW25" s="51">
        <f t="shared" si="27"/>
        <v>347658</v>
      </c>
      <c r="AX25" s="51">
        <f t="shared" si="27"/>
        <v>347658</v>
      </c>
      <c r="AY25" s="51">
        <f t="shared" si="27"/>
        <v>347658</v>
      </c>
      <c r="AZ25" s="51">
        <f t="shared" si="27"/>
        <v>347658</v>
      </c>
      <c r="BA25" s="51">
        <f t="shared" si="27"/>
        <v>347658</v>
      </c>
      <c r="BB25" s="51">
        <f t="shared" si="27"/>
        <v>347658</v>
      </c>
      <c r="BC25" s="51">
        <f t="shared" si="27"/>
        <v>347658</v>
      </c>
      <c r="BD25" s="51">
        <f t="shared" si="27"/>
        <v>347658</v>
      </c>
      <c r="BE25" s="51">
        <f t="shared" si="27"/>
        <v>347658</v>
      </c>
      <c r="BF25" s="51">
        <f t="shared" si="27"/>
        <v>347658</v>
      </c>
      <c r="BG25" s="51">
        <f t="shared" si="27"/>
        <v>347658</v>
      </c>
      <c r="BH25" s="51">
        <f t="shared" si="27"/>
        <v>347658</v>
      </c>
      <c r="BI25" s="51">
        <f t="shared" si="27"/>
        <v>347658</v>
      </c>
      <c r="BJ25" s="51">
        <f t="shared" si="27"/>
        <v>347658</v>
      </c>
      <c r="BK25" s="51">
        <f t="shared" si="27"/>
        <v>347658</v>
      </c>
      <c r="BL25" s="51">
        <f t="shared" si="27"/>
        <v>347658</v>
      </c>
      <c r="BM25" s="51">
        <f t="shared" ref="BM25:BW25" si="28">BL25</f>
        <v>347658</v>
      </c>
      <c r="BN25" s="51">
        <f t="shared" si="28"/>
        <v>347658</v>
      </c>
      <c r="BO25" s="51">
        <f t="shared" si="28"/>
        <v>347658</v>
      </c>
      <c r="BP25" s="51">
        <f t="shared" si="28"/>
        <v>347658</v>
      </c>
      <c r="BQ25" s="51">
        <f t="shared" si="28"/>
        <v>347658</v>
      </c>
      <c r="BR25" s="51">
        <f t="shared" si="28"/>
        <v>347658</v>
      </c>
      <c r="BS25" s="51">
        <f t="shared" si="28"/>
        <v>347658</v>
      </c>
      <c r="BT25" s="51">
        <f t="shared" si="28"/>
        <v>347658</v>
      </c>
      <c r="BU25" s="51">
        <f t="shared" si="28"/>
        <v>347658</v>
      </c>
      <c r="BV25" s="51">
        <f t="shared" si="28"/>
        <v>347658</v>
      </c>
      <c r="BW25" s="51">
        <f t="shared" si="28"/>
        <v>347658</v>
      </c>
    </row>
    <row r="26" spans="1:75" x14ac:dyDescent="0.3">
      <c r="A26" s="1" t="s">
        <v>125</v>
      </c>
      <c r="B26" s="47" t="s">
        <v>126</v>
      </c>
      <c r="C26" s="49">
        <v>4201</v>
      </c>
      <c r="D26" s="49">
        <v>2598</v>
      </c>
      <c r="E26" s="49">
        <v>2534</v>
      </c>
      <c r="F26" s="49">
        <v>1659</v>
      </c>
      <c r="G26" s="51">
        <f t="shared" si="9"/>
        <v>1659</v>
      </c>
      <c r="H26" s="49">
        <v>5874</v>
      </c>
      <c r="I26" s="49">
        <v>12097</v>
      </c>
      <c r="J26" s="49">
        <v>9335</v>
      </c>
      <c r="K26" s="49">
        <v>10333</v>
      </c>
      <c r="L26" s="51">
        <f t="shared" si="10"/>
        <v>10333</v>
      </c>
      <c r="M26" s="49">
        <v>8062</v>
      </c>
      <c r="N26" s="49">
        <v>11013</v>
      </c>
      <c r="O26" s="49">
        <v>28759</v>
      </c>
      <c r="P26" s="49">
        <v>25594</v>
      </c>
      <c r="Q26" s="51">
        <f t="shared" si="11"/>
        <v>25594</v>
      </c>
      <c r="R26" s="49">
        <v>23233</v>
      </c>
      <c r="S26" s="49">
        <v>15940</v>
      </c>
      <c r="T26" s="49">
        <v>9352</v>
      </c>
      <c r="U26" s="49">
        <v>9760</v>
      </c>
      <c r="V26" s="51">
        <f t="shared" si="12"/>
        <v>9760</v>
      </c>
      <c r="W26" s="49">
        <v>31995</v>
      </c>
      <c r="X26" s="49" t="s">
        <v>707</v>
      </c>
      <c r="Y26" s="49">
        <v>18803</v>
      </c>
      <c r="Z26" s="49">
        <v>10809</v>
      </c>
      <c r="AA26" s="51">
        <f t="shared" si="13"/>
        <v>10809</v>
      </c>
      <c r="AB26" s="49">
        <v>5342</v>
      </c>
      <c r="AC26" s="49">
        <v>13944</v>
      </c>
      <c r="AD26" s="49">
        <v>31060</v>
      </c>
      <c r="AE26" s="49">
        <v>22129</v>
      </c>
      <c r="AF26" s="51">
        <f t="shared" si="23"/>
        <v>22129</v>
      </c>
      <c r="AG26" s="51">
        <f t="shared" ref="AG26:BL26" si="29">AF26</f>
        <v>22129</v>
      </c>
      <c r="AH26" s="51">
        <f t="shared" si="29"/>
        <v>22129</v>
      </c>
      <c r="AI26" s="51">
        <f t="shared" si="29"/>
        <v>22129</v>
      </c>
      <c r="AJ26" s="51">
        <f t="shared" si="29"/>
        <v>22129</v>
      </c>
      <c r="AK26" s="51">
        <f t="shared" si="29"/>
        <v>22129</v>
      </c>
      <c r="AL26" s="51">
        <f t="shared" si="29"/>
        <v>22129</v>
      </c>
      <c r="AM26" s="51">
        <f t="shared" si="29"/>
        <v>22129</v>
      </c>
      <c r="AN26" s="51">
        <f t="shared" si="29"/>
        <v>22129</v>
      </c>
      <c r="AO26" s="51">
        <f t="shared" si="29"/>
        <v>22129</v>
      </c>
      <c r="AP26" s="51">
        <f t="shared" si="29"/>
        <v>22129</v>
      </c>
      <c r="AQ26" s="51">
        <f t="shared" si="29"/>
        <v>22129</v>
      </c>
      <c r="AR26" s="51">
        <f t="shared" si="29"/>
        <v>22129</v>
      </c>
      <c r="AS26" s="51">
        <f t="shared" si="29"/>
        <v>22129</v>
      </c>
      <c r="AT26" s="51">
        <f t="shared" si="29"/>
        <v>22129</v>
      </c>
      <c r="AU26" s="51">
        <f t="shared" si="29"/>
        <v>22129</v>
      </c>
      <c r="AV26" s="51">
        <f t="shared" si="29"/>
        <v>22129</v>
      </c>
      <c r="AW26" s="51">
        <f t="shared" si="29"/>
        <v>22129</v>
      </c>
      <c r="AX26" s="51">
        <f t="shared" si="29"/>
        <v>22129</v>
      </c>
      <c r="AY26" s="51">
        <f t="shared" si="29"/>
        <v>22129</v>
      </c>
      <c r="AZ26" s="51">
        <f t="shared" si="29"/>
        <v>22129</v>
      </c>
      <c r="BA26" s="51">
        <f t="shared" si="29"/>
        <v>22129</v>
      </c>
      <c r="BB26" s="51">
        <f t="shared" si="29"/>
        <v>22129</v>
      </c>
      <c r="BC26" s="51">
        <f t="shared" si="29"/>
        <v>22129</v>
      </c>
      <c r="BD26" s="51">
        <f t="shared" si="29"/>
        <v>22129</v>
      </c>
      <c r="BE26" s="51">
        <f t="shared" si="29"/>
        <v>22129</v>
      </c>
      <c r="BF26" s="51">
        <f t="shared" si="29"/>
        <v>22129</v>
      </c>
      <c r="BG26" s="51">
        <f t="shared" si="29"/>
        <v>22129</v>
      </c>
      <c r="BH26" s="51">
        <f t="shared" si="29"/>
        <v>22129</v>
      </c>
      <c r="BI26" s="51">
        <f t="shared" si="29"/>
        <v>22129</v>
      </c>
      <c r="BJ26" s="51">
        <f t="shared" si="29"/>
        <v>22129</v>
      </c>
      <c r="BK26" s="51">
        <f t="shared" si="29"/>
        <v>22129</v>
      </c>
      <c r="BL26" s="51">
        <f t="shared" si="29"/>
        <v>22129</v>
      </c>
      <c r="BM26" s="51">
        <f t="shared" ref="BM26:BW26" si="30">BL26</f>
        <v>22129</v>
      </c>
      <c r="BN26" s="51">
        <f t="shared" si="30"/>
        <v>22129</v>
      </c>
      <c r="BO26" s="51">
        <f t="shared" si="30"/>
        <v>22129</v>
      </c>
      <c r="BP26" s="51">
        <f t="shared" si="30"/>
        <v>22129</v>
      </c>
      <c r="BQ26" s="51">
        <f t="shared" si="30"/>
        <v>22129</v>
      </c>
      <c r="BR26" s="51">
        <f t="shared" si="30"/>
        <v>22129</v>
      </c>
      <c r="BS26" s="51">
        <f t="shared" si="30"/>
        <v>22129</v>
      </c>
      <c r="BT26" s="51">
        <f t="shared" si="30"/>
        <v>22129</v>
      </c>
      <c r="BU26" s="51">
        <f t="shared" si="30"/>
        <v>22129</v>
      </c>
      <c r="BV26" s="51">
        <f t="shared" si="30"/>
        <v>22129</v>
      </c>
      <c r="BW26" s="51">
        <f t="shared" si="30"/>
        <v>22129</v>
      </c>
    </row>
    <row r="27" spans="1:75" x14ac:dyDescent="0.3">
      <c r="A27" s="1" t="s">
        <v>127</v>
      </c>
      <c r="B27" s="47" t="s">
        <v>128</v>
      </c>
      <c r="C27" s="49">
        <v>62020</v>
      </c>
      <c r="D27" s="49">
        <v>62221</v>
      </c>
      <c r="E27" s="49">
        <v>66556</v>
      </c>
      <c r="F27" s="49">
        <v>79282</v>
      </c>
      <c r="G27" s="51">
        <f t="shared" si="9"/>
        <v>79282</v>
      </c>
      <c r="H27" s="49">
        <v>82034</v>
      </c>
      <c r="I27" s="49">
        <v>242645</v>
      </c>
      <c r="J27" s="49">
        <v>229429</v>
      </c>
      <c r="K27" s="49">
        <v>200215</v>
      </c>
      <c r="L27" s="51">
        <f t="shared" si="10"/>
        <v>200215</v>
      </c>
      <c r="M27" s="49">
        <v>798480</v>
      </c>
      <c r="N27" s="49">
        <v>444129</v>
      </c>
      <c r="O27" s="49">
        <v>492462</v>
      </c>
      <c r="P27" s="49">
        <v>278603</v>
      </c>
      <c r="Q27" s="51">
        <f t="shared" si="11"/>
        <v>278603</v>
      </c>
      <c r="R27" s="49">
        <v>287710</v>
      </c>
      <c r="S27" s="49">
        <v>187817</v>
      </c>
      <c r="T27" s="49">
        <v>174661</v>
      </c>
      <c r="U27" s="49">
        <v>227261</v>
      </c>
      <c r="V27" s="51">
        <f t="shared" si="12"/>
        <v>227261</v>
      </c>
      <c r="W27" s="49">
        <v>147362</v>
      </c>
      <c r="X27" s="49">
        <v>180662</v>
      </c>
      <c r="Y27" s="49">
        <v>347046</v>
      </c>
      <c r="Z27" s="49">
        <v>283116</v>
      </c>
      <c r="AA27" s="51">
        <f t="shared" si="13"/>
        <v>283116</v>
      </c>
      <c r="AB27" s="49">
        <v>429633</v>
      </c>
      <c r="AC27" s="49">
        <v>208513</v>
      </c>
      <c r="AD27" s="49">
        <f>179957+10650+27828+73084</f>
        <v>291519</v>
      </c>
      <c r="AE27" s="49">
        <v>194542</v>
      </c>
      <c r="AF27" s="51">
        <f t="shared" si="23"/>
        <v>194542</v>
      </c>
      <c r="AG27" s="51">
        <f t="shared" ref="AG27:BL29" si="31">AF27</f>
        <v>194542</v>
      </c>
      <c r="AH27" s="51">
        <f t="shared" si="31"/>
        <v>194542</v>
      </c>
      <c r="AI27" s="51">
        <f t="shared" si="31"/>
        <v>194542</v>
      </c>
      <c r="AJ27" s="51">
        <f t="shared" si="31"/>
        <v>194542</v>
      </c>
      <c r="AK27" s="51">
        <f t="shared" si="31"/>
        <v>194542</v>
      </c>
      <c r="AL27" s="51">
        <f t="shared" si="31"/>
        <v>194542</v>
      </c>
      <c r="AM27" s="51">
        <f t="shared" si="31"/>
        <v>194542</v>
      </c>
      <c r="AN27" s="51">
        <f t="shared" si="31"/>
        <v>194542</v>
      </c>
      <c r="AO27" s="51">
        <f t="shared" si="31"/>
        <v>194542</v>
      </c>
      <c r="AP27" s="51">
        <f t="shared" si="31"/>
        <v>194542</v>
      </c>
      <c r="AQ27" s="51">
        <f t="shared" si="31"/>
        <v>194542</v>
      </c>
      <c r="AR27" s="51">
        <f t="shared" si="31"/>
        <v>194542</v>
      </c>
      <c r="AS27" s="51">
        <f t="shared" si="31"/>
        <v>194542</v>
      </c>
      <c r="AT27" s="51">
        <f t="shared" si="31"/>
        <v>194542</v>
      </c>
      <c r="AU27" s="51">
        <f t="shared" si="31"/>
        <v>194542</v>
      </c>
      <c r="AV27" s="51">
        <f t="shared" si="31"/>
        <v>194542</v>
      </c>
      <c r="AW27" s="51">
        <f t="shared" si="31"/>
        <v>194542</v>
      </c>
      <c r="AX27" s="51">
        <f t="shared" si="31"/>
        <v>194542</v>
      </c>
      <c r="AY27" s="51">
        <f t="shared" si="31"/>
        <v>194542</v>
      </c>
      <c r="AZ27" s="51">
        <f t="shared" si="31"/>
        <v>194542</v>
      </c>
      <c r="BA27" s="51">
        <f t="shared" si="31"/>
        <v>194542</v>
      </c>
      <c r="BB27" s="51">
        <f t="shared" si="31"/>
        <v>194542</v>
      </c>
      <c r="BC27" s="51">
        <f t="shared" si="31"/>
        <v>194542</v>
      </c>
      <c r="BD27" s="51">
        <f t="shared" si="31"/>
        <v>194542</v>
      </c>
      <c r="BE27" s="51">
        <f t="shared" si="31"/>
        <v>194542</v>
      </c>
      <c r="BF27" s="51">
        <f t="shared" si="31"/>
        <v>194542</v>
      </c>
      <c r="BG27" s="51">
        <f t="shared" si="31"/>
        <v>194542</v>
      </c>
      <c r="BH27" s="51">
        <f t="shared" si="31"/>
        <v>194542</v>
      </c>
      <c r="BI27" s="51">
        <f t="shared" si="31"/>
        <v>194542</v>
      </c>
      <c r="BJ27" s="51">
        <f t="shared" si="31"/>
        <v>194542</v>
      </c>
      <c r="BK27" s="51">
        <f t="shared" si="31"/>
        <v>194542</v>
      </c>
      <c r="BL27" s="51">
        <f t="shared" si="31"/>
        <v>194542</v>
      </c>
      <c r="BM27" s="51">
        <f t="shared" ref="BM27:BW27" si="32">BL27</f>
        <v>194542</v>
      </c>
      <c r="BN27" s="51">
        <f t="shared" si="32"/>
        <v>194542</v>
      </c>
      <c r="BO27" s="51">
        <f t="shared" si="32"/>
        <v>194542</v>
      </c>
      <c r="BP27" s="51">
        <f t="shared" si="32"/>
        <v>194542</v>
      </c>
      <c r="BQ27" s="51">
        <f t="shared" si="32"/>
        <v>194542</v>
      </c>
      <c r="BR27" s="51">
        <f t="shared" si="32"/>
        <v>194542</v>
      </c>
      <c r="BS27" s="51">
        <f t="shared" si="32"/>
        <v>194542</v>
      </c>
      <c r="BT27" s="51">
        <f t="shared" si="32"/>
        <v>194542</v>
      </c>
      <c r="BU27" s="51">
        <f t="shared" si="32"/>
        <v>194542</v>
      </c>
      <c r="BV27" s="51">
        <f t="shared" si="32"/>
        <v>194542</v>
      </c>
      <c r="BW27" s="51">
        <f t="shared" si="32"/>
        <v>194542</v>
      </c>
    </row>
    <row r="28" spans="1:75" s="38" customFormat="1" x14ac:dyDescent="0.3">
      <c r="A28" s="1" t="s">
        <v>129</v>
      </c>
      <c r="B28" s="38" t="s">
        <v>130</v>
      </c>
      <c r="C28" s="48">
        <f t="shared" ref="C28:AE28" si="33">C29+C31+C32+C30</f>
        <v>421278</v>
      </c>
      <c r="D28" s="48">
        <f t="shared" si="33"/>
        <v>474515</v>
      </c>
      <c r="E28" s="48">
        <f t="shared" si="33"/>
        <v>485459</v>
      </c>
      <c r="F28" s="48">
        <f t="shared" si="33"/>
        <v>480564</v>
      </c>
      <c r="G28" s="48">
        <f t="shared" si="33"/>
        <v>480564</v>
      </c>
      <c r="H28" s="48">
        <f t="shared" si="33"/>
        <v>3657302</v>
      </c>
      <c r="I28" s="48">
        <f t="shared" si="33"/>
        <v>3386223</v>
      </c>
      <c r="J28" s="48">
        <f t="shared" si="33"/>
        <v>3457010</v>
      </c>
      <c r="K28" s="48">
        <f t="shared" si="33"/>
        <v>3976661</v>
      </c>
      <c r="L28" s="48">
        <f t="shared" si="33"/>
        <v>3976661</v>
      </c>
      <c r="M28" s="48">
        <f t="shared" si="33"/>
        <v>5252119</v>
      </c>
      <c r="N28" s="48">
        <f t="shared" si="33"/>
        <v>5260513</v>
      </c>
      <c r="O28" s="48">
        <f t="shared" si="33"/>
        <v>5404998</v>
      </c>
      <c r="P28" s="48">
        <f t="shared" si="33"/>
        <v>4951418</v>
      </c>
      <c r="Q28" s="48">
        <f t="shared" si="33"/>
        <v>4951418</v>
      </c>
      <c r="R28" s="48">
        <f t="shared" si="33"/>
        <v>5244461</v>
      </c>
      <c r="S28" s="48">
        <f t="shared" si="33"/>
        <v>4987285</v>
      </c>
      <c r="T28" s="48">
        <f t="shared" si="33"/>
        <v>5981504</v>
      </c>
      <c r="U28" s="48">
        <f t="shared" si="33"/>
        <v>6115121</v>
      </c>
      <c r="V28" s="48">
        <f t="shared" si="33"/>
        <v>6115121</v>
      </c>
      <c r="W28" s="48">
        <f t="shared" si="33"/>
        <v>6057511</v>
      </c>
      <c r="X28" s="48">
        <f t="shared" si="33"/>
        <v>8317151</v>
      </c>
      <c r="Y28" s="48">
        <f t="shared" si="33"/>
        <v>8797869</v>
      </c>
      <c r="Z28" s="48">
        <f t="shared" si="33"/>
        <v>9699893</v>
      </c>
      <c r="AA28" s="48">
        <f t="shared" si="33"/>
        <v>9699893</v>
      </c>
      <c r="AB28" s="48">
        <f t="shared" si="33"/>
        <v>21738792</v>
      </c>
      <c r="AC28" s="48">
        <f t="shared" si="33"/>
        <v>22327929</v>
      </c>
      <c r="AD28" s="48">
        <f t="shared" si="33"/>
        <v>23435149</v>
      </c>
      <c r="AE28" s="48">
        <f t="shared" si="33"/>
        <v>23016058</v>
      </c>
      <c r="AF28" s="48">
        <f t="shared" si="23"/>
        <v>23016058</v>
      </c>
      <c r="AG28" s="48">
        <f t="shared" ref="AG28:BW28" ca="1" si="34">AG29+AG31+AG32+AG30</f>
        <v>23439013.727974918</v>
      </c>
      <c r="AH28" s="48">
        <f t="shared" ca="1" si="34"/>
        <v>23562149.632249575</v>
      </c>
      <c r="AI28" s="48">
        <f t="shared" ca="1" si="34"/>
        <v>22975344.170947127</v>
      </c>
      <c r="AJ28" s="48">
        <f t="shared" ca="1" si="34"/>
        <v>22212532.684022233</v>
      </c>
      <c r="AK28" s="48">
        <f t="shared" ca="1" si="34"/>
        <v>20877418.527420506</v>
      </c>
      <c r="AL28" s="48">
        <f t="shared" ca="1" si="34"/>
        <v>19663678.759242464</v>
      </c>
      <c r="AM28" s="48">
        <f t="shared" ca="1" si="34"/>
        <v>17539735.648816463</v>
      </c>
      <c r="AN28" s="48">
        <f t="shared" ca="1" si="34"/>
        <v>15727119.178314894</v>
      </c>
      <c r="AO28" s="48">
        <f t="shared" ca="1" si="34"/>
        <v>14158356.459448449</v>
      </c>
      <c r="AP28" s="48">
        <f t="shared" ca="1" si="34"/>
        <v>12785845.70871507</v>
      </c>
      <c r="AQ28" s="48">
        <f t="shared" ca="1" si="34"/>
        <v>11602712.13973029</v>
      </c>
      <c r="AR28" s="48">
        <f t="shared" ca="1" si="34"/>
        <v>10602067.746436832</v>
      </c>
      <c r="AS28" s="48">
        <f t="shared" ca="1" si="34"/>
        <v>9751723.0589373112</v>
      </c>
      <c r="AT28" s="48">
        <f t="shared" ca="1" si="34"/>
        <v>8892517.9626243636</v>
      </c>
      <c r="AU28" s="48">
        <f t="shared" ca="1" si="34"/>
        <v>8152667.4351839209</v>
      </c>
      <c r="AV28" s="48">
        <f t="shared" ca="1" si="34"/>
        <v>7589071.3249296397</v>
      </c>
      <c r="AW28" s="48">
        <f t="shared" ca="1" si="34"/>
        <v>7096231.1410367852</v>
      </c>
      <c r="AX28" s="48">
        <f t="shared" ca="1" si="34"/>
        <v>6662708.3275664076</v>
      </c>
      <c r="AY28" s="48">
        <f t="shared" ca="1" si="34"/>
        <v>6282964.5394968279</v>
      </c>
      <c r="AZ28" s="48">
        <f t="shared" ca="1" si="34"/>
        <v>5940418.0700509017</v>
      </c>
      <c r="BA28" s="48">
        <f t="shared" ca="1" si="34"/>
        <v>5640039.4503176492</v>
      </c>
      <c r="BB28" s="48">
        <f t="shared" ca="1" si="34"/>
        <v>5352897.3944510873</v>
      </c>
      <c r="BC28" s="48">
        <f t="shared" ca="1" si="34"/>
        <v>5066067.2072586929</v>
      </c>
      <c r="BD28" s="48">
        <f t="shared" ca="1" si="34"/>
        <v>4766602.8281141929</v>
      </c>
      <c r="BE28" s="48">
        <f t="shared" ca="1" si="34"/>
        <v>4468429.6667041583</v>
      </c>
      <c r="BF28" s="48">
        <f t="shared" ca="1" si="34"/>
        <v>4128224.4187026527</v>
      </c>
      <c r="BG28" s="48">
        <f t="shared" ca="1" si="34"/>
        <v>3421073.925766292</v>
      </c>
      <c r="BH28" s="48">
        <f t="shared" ca="1" si="34"/>
        <v>2977774</v>
      </c>
      <c r="BI28" s="48">
        <f t="shared" ca="1" si="34"/>
        <v>2977774</v>
      </c>
      <c r="BJ28" s="48">
        <f t="shared" ca="1" si="34"/>
        <v>2977774</v>
      </c>
      <c r="BK28" s="48">
        <f t="shared" ca="1" si="34"/>
        <v>2977774</v>
      </c>
      <c r="BL28" s="48">
        <f t="shared" ca="1" si="34"/>
        <v>2977774</v>
      </c>
      <c r="BM28" s="48">
        <f t="shared" ca="1" si="34"/>
        <v>2977774</v>
      </c>
      <c r="BN28" s="48">
        <f t="shared" ca="1" si="34"/>
        <v>2977774</v>
      </c>
      <c r="BO28" s="48">
        <f t="shared" ca="1" si="34"/>
        <v>2977774</v>
      </c>
      <c r="BP28" s="48">
        <f t="shared" ca="1" si="34"/>
        <v>2977774</v>
      </c>
      <c r="BQ28" s="48">
        <f t="shared" ca="1" si="34"/>
        <v>2977774</v>
      </c>
      <c r="BR28" s="48">
        <f t="shared" ca="1" si="34"/>
        <v>2977774</v>
      </c>
      <c r="BS28" s="48">
        <f t="shared" ca="1" si="34"/>
        <v>2977774</v>
      </c>
      <c r="BT28" s="48">
        <f t="shared" ca="1" si="34"/>
        <v>2977774</v>
      </c>
      <c r="BU28" s="48">
        <f t="shared" ca="1" si="34"/>
        <v>2977774</v>
      </c>
      <c r="BV28" s="48">
        <f t="shared" ca="1" si="34"/>
        <v>2977774</v>
      </c>
      <c r="BW28" s="48">
        <f t="shared" ca="1" si="34"/>
        <v>2977774</v>
      </c>
    </row>
    <row r="29" spans="1:75" x14ac:dyDescent="0.3">
      <c r="A29" s="35" t="s">
        <v>131</v>
      </c>
      <c r="B29" s="65" t="s">
        <v>132</v>
      </c>
      <c r="C29" s="49">
        <v>101931</v>
      </c>
      <c r="D29" s="49">
        <v>104297</v>
      </c>
      <c r="E29" s="49">
        <v>78617</v>
      </c>
      <c r="F29" s="49">
        <v>69268</v>
      </c>
      <c r="G29" s="51">
        <f t="shared" si="9"/>
        <v>69268</v>
      </c>
      <c r="H29" s="49">
        <v>71989</v>
      </c>
      <c r="I29" s="49">
        <v>107425</v>
      </c>
      <c r="J29" s="49">
        <v>73002</v>
      </c>
      <c r="K29" s="49">
        <v>232542</v>
      </c>
      <c r="L29" s="51">
        <f t="shared" si="10"/>
        <v>232542</v>
      </c>
      <c r="M29" s="49">
        <v>236555</v>
      </c>
      <c r="N29" s="49">
        <v>264472</v>
      </c>
      <c r="O29" s="49">
        <v>230786</v>
      </c>
      <c r="P29" s="49">
        <v>265703</v>
      </c>
      <c r="Q29" s="51">
        <f t="shared" si="11"/>
        <v>265703</v>
      </c>
      <c r="R29" s="49">
        <v>319040</v>
      </c>
      <c r="S29" s="49">
        <v>215592</v>
      </c>
      <c r="T29" s="49">
        <v>238970</v>
      </c>
      <c r="U29" s="49">
        <v>397883</v>
      </c>
      <c r="V29" s="51">
        <f t="shared" si="12"/>
        <v>397883</v>
      </c>
      <c r="W29" s="49">
        <v>700783</v>
      </c>
      <c r="X29" s="49">
        <v>721759</v>
      </c>
      <c r="Y29" s="49">
        <v>521786</v>
      </c>
      <c r="Z29" s="49">
        <v>729759</v>
      </c>
      <c r="AA29" s="51">
        <f t="shared" si="13"/>
        <v>729759</v>
      </c>
      <c r="AB29" s="49">
        <v>682821</v>
      </c>
      <c r="AC29" s="49">
        <v>891997</v>
      </c>
      <c r="AD29" s="49">
        <f>232+31654+4782+425637+95817</f>
        <v>558122</v>
      </c>
      <c r="AE29" s="49">
        <v>631701</v>
      </c>
      <c r="AF29" s="51">
        <f t="shared" si="23"/>
        <v>631701</v>
      </c>
      <c r="AG29" s="51">
        <f t="shared" si="31"/>
        <v>631701</v>
      </c>
      <c r="AH29" s="51">
        <f t="shared" si="31"/>
        <v>631701</v>
      </c>
      <c r="AI29" s="51">
        <f t="shared" si="31"/>
        <v>631701</v>
      </c>
      <c r="AJ29" s="51">
        <f t="shared" si="31"/>
        <v>631701</v>
      </c>
      <c r="AK29" s="51">
        <f t="shared" si="31"/>
        <v>631701</v>
      </c>
      <c r="AL29" s="51">
        <f t="shared" si="31"/>
        <v>631701</v>
      </c>
      <c r="AM29" s="51">
        <f t="shared" si="31"/>
        <v>631701</v>
      </c>
      <c r="AN29" s="51">
        <f t="shared" si="31"/>
        <v>631701</v>
      </c>
      <c r="AO29" s="51">
        <f t="shared" si="31"/>
        <v>631701</v>
      </c>
      <c r="AP29" s="51">
        <f t="shared" si="31"/>
        <v>631701</v>
      </c>
      <c r="AQ29" s="51">
        <f t="shared" si="31"/>
        <v>631701</v>
      </c>
      <c r="AR29" s="51">
        <f t="shared" si="31"/>
        <v>631701</v>
      </c>
      <c r="AS29" s="51">
        <f t="shared" si="31"/>
        <v>631701</v>
      </c>
      <c r="AT29" s="51">
        <f t="shared" si="31"/>
        <v>631701</v>
      </c>
      <c r="AU29" s="51">
        <f t="shared" si="31"/>
        <v>631701</v>
      </c>
      <c r="AV29" s="51">
        <f t="shared" si="31"/>
        <v>631701</v>
      </c>
      <c r="AW29" s="51">
        <f t="shared" si="31"/>
        <v>631701</v>
      </c>
      <c r="AX29" s="51">
        <f t="shared" si="31"/>
        <v>631701</v>
      </c>
      <c r="AY29" s="51">
        <f t="shared" si="31"/>
        <v>631701</v>
      </c>
      <c r="AZ29" s="51">
        <f t="shared" si="31"/>
        <v>631701</v>
      </c>
      <c r="BA29" s="51">
        <f t="shared" si="31"/>
        <v>631701</v>
      </c>
      <c r="BB29" s="51">
        <f t="shared" si="31"/>
        <v>631701</v>
      </c>
      <c r="BC29" s="51">
        <f t="shared" si="31"/>
        <v>631701</v>
      </c>
      <c r="BD29" s="51">
        <f t="shared" si="31"/>
        <v>631701</v>
      </c>
      <c r="BE29" s="51">
        <f t="shared" si="31"/>
        <v>631701</v>
      </c>
      <c r="BF29" s="51">
        <f t="shared" si="31"/>
        <v>631701</v>
      </c>
      <c r="BG29" s="51">
        <f t="shared" si="31"/>
        <v>631701</v>
      </c>
      <c r="BH29" s="51">
        <f t="shared" si="31"/>
        <v>631701</v>
      </c>
      <c r="BI29" s="51">
        <f t="shared" si="31"/>
        <v>631701</v>
      </c>
      <c r="BJ29" s="51">
        <f t="shared" si="31"/>
        <v>631701</v>
      </c>
      <c r="BK29" s="51">
        <f t="shared" si="31"/>
        <v>631701</v>
      </c>
      <c r="BL29" s="51">
        <f t="shared" si="31"/>
        <v>631701</v>
      </c>
      <c r="BM29" s="51">
        <f t="shared" ref="BM29:BW29" si="35">BL29</f>
        <v>631701</v>
      </c>
      <c r="BN29" s="51">
        <f t="shared" si="35"/>
        <v>631701</v>
      </c>
      <c r="BO29" s="51">
        <f t="shared" si="35"/>
        <v>631701</v>
      </c>
      <c r="BP29" s="51">
        <f t="shared" si="35"/>
        <v>631701</v>
      </c>
      <c r="BQ29" s="51">
        <f t="shared" si="35"/>
        <v>631701</v>
      </c>
      <c r="BR29" s="51">
        <f t="shared" si="35"/>
        <v>631701</v>
      </c>
      <c r="BS29" s="51">
        <f t="shared" si="35"/>
        <v>631701</v>
      </c>
      <c r="BT29" s="51">
        <f t="shared" si="35"/>
        <v>631701</v>
      </c>
      <c r="BU29" s="51">
        <f t="shared" si="35"/>
        <v>631701</v>
      </c>
      <c r="BV29" s="51">
        <f t="shared" si="35"/>
        <v>631701</v>
      </c>
      <c r="BW29" s="51">
        <f t="shared" si="35"/>
        <v>631701</v>
      </c>
    </row>
    <row r="30" spans="1:75" x14ac:dyDescent="0.3">
      <c r="B30" s="47" t="s">
        <v>534</v>
      </c>
      <c r="C30"/>
      <c r="D30"/>
      <c r="E30"/>
      <c r="F30"/>
      <c r="G30"/>
      <c r="H30"/>
      <c r="I30"/>
      <c r="J30"/>
      <c r="K30"/>
      <c r="L30"/>
      <c r="M30"/>
      <c r="N30"/>
      <c r="O30"/>
      <c r="P30"/>
      <c r="Q30"/>
      <c r="R30"/>
      <c r="S30"/>
      <c r="T30"/>
      <c r="U30" s="49">
        <v>425867</v>
      </c>
      <c r="V30" s="51">
        <f t="shared" si="12"/>
        <v>425867</v>
      </c>
      <c r="W30" s="49">
        <v>413532</v>
      </c>
      <c r="X30" s="49">
        <v>928229</v>
      </c>
      <c r="Y30" s="49">
        <v>1079063</v>
      </c>
      <c r="Z30" s="49">
        <v>1470973</v>
      </c>
      <c r="AA30" s="51">
        <f t="shared" si="13"/>
        <v>1470973</v>
      </c>
      <c r="AB30" s="49">
        <v>1529702</v>
      </c>
      <c r="AC30" s="49">
        <v>1714785</v>
      </c>
      <c r="AD30" s="49">
        <v>2013218</v>
      </c>
      <c r="AE30" s="49">
        <v>2044361</v>
      </c>
      <c r="AF30" s="99">
        <f t="shared" si="23"/>
        <v>2044361</v>
      </c>
      <c r="AG30" s="99">
        <f t="shared" ref="AG30:BW30" si="36">AF30</f>
        <v>2044361</v>
      </c>
      <c r="AH30" s="99">
        <f t="shared" si="36"/>
        <v>2044361</v>
      </c>
      <c r="AI30" s="99">
        <f t="shared" si="36"/>
        <v>2044361</v>
      </c>
      <c r="AJ30" s="99">
        <f t="shared" si="36"/>
        <v>2044361</v>
      </c>
      <c r="AK30" s="99">
        <f t="shared" si="36"/>
        <v>2044361</v>
      </c>
      <c r="AL30" s="99">
        <f t="shared" si="36"/>
        <v>2044361</v>
      </c>
      <c r="AM30" s="99">
        <f t="shared" si="36"/>
        <v>2044361</v>
      </c>
      <c r="AN30" s="99">
        <f t="shared" si="36"/>
        <v>2044361</v>
      </c>
      <c r="AO30" s="99">
        <f t="shared" si="36"/>
        <v>2044361</v>
      </c>
      <c r="AP30" s="99">
        <f t="shared" si="36"/>
        <v>2044361</v>
      </c>
      <c r="AQ30" s="99">
        <f t="shared" si="36"/>
        <v>2044361</v>
      </c>
      <c r="AR30" s="99">
        <f t="shared" si="36"/>
        <v>2044361</v>
      </c>
      <c r="AS30" s="99">
        <f t="shared" si="36"/>
        <v>2044361</v>
      </c>
      <c r="AT30" s="99">
        <f t="shared" si="36"/>
        <v>2044361</v>
      </c>
      <c r="AU30" s="99">
        <f t="shared" si="36"/>
        <v>2044361</v>
      </c>
      <c r="AV30" s="99">
        <f t="shared" si="36"/>
        <v>2044361</v>
      </c>
      <c r="AW30" s="99">
        <f t="shared" si="36"/>
        <v>2044361</v>
      </c>
      <c r="AX30" s="99">
        <f t="shared" si="36"/>
        <v>2044361</v>
      </c>
      <c r="AY30" s="99">
        <f t="shared" si="36"/>
        <v>2044361</v>
      </c>
      <c r="AZ30" s="99">
        <f t="shared" si="36"/>
        <v>2044361</v>
      </c>
      <c r="BA30" s="99">
        <f t="shared" si="36"/>
        <v>2044361</v>
      </c>
      <c r="BB30" s="99">
        <f t="shared" si="36"/>
        <v>2044361</v>
      </c>
      <c r="BC30" s="99">
        <f t="shared" si="36"/>
        <v>2044361</v>
      </c>
      <c r="BD30" s="99">
        <f t="shared" si="36"/>
        <v>2044361</v>
      </c>
      <c r="BE30" s="99">
        <f t="shared" si="36"/>
        <v>2044361</v>
      </c>
      <c r="BF30" s="99">
        <f t="shared" si="36"/>
        <v>2044361</v>
      </c>
      <c r="BG30" s="99">
        <f t="shared" si="36"/>
        <v>2044361</v>
      </c>
      <c r="BH30" s="99">
        <f t="shared" si="36"/>
        <v>2044361</v>
      </c>
      <c r="BI30" s="99">
        <f t="shared" si="36"/>
        <v>2044361</v>
      </c>
      <c r="BJ30" s="99">
        <f t="shared" si="36"/>
        <v>2044361</v>
      </c>
      <c r="BK30" s="99">
        <f t="shared" si="36"/>
        <v>2044361</v>
      </c>
      <c r="BL30" s="99">
        <f t="shared" si="36"/>
        <v>2044361</v>
      </c>
      <c r="BM30" s="99">
        <f t="shared" si="36"/>
        <v>2044361</v>
      </c>
      <c r="BN30" s="99">
        <f t="shared" si="36"/>
        <v>2044361</v>
      </c>
      <c r="BO30" s="99">
        <f t="shared" si="36"/>
        <v>2044361</v>
      </c>
      <c r="BP30" s="99">
        <f t="shared" si="36"/>
        <v>2044361</v>
      </c>
      <c r="BQ30" s="99">
        <f t="shared" si="36"/>
        <v>2044361</v>
      </c>
      <c r="BR30" s="99">
        <f t="shared" si="36"/>
        <v>2044361</v>
      </c>
      <c r="BS30" s="99">
        <f t="shared" si="36"/>
        <v>2044361</v>
      </c>
      <c r="BT30" s="99">
        <f t="shared" si="36"/>
        <v>2044361</v>
      </c>
      <c r="BU30" s="99">
        <f t="shared" si="36"/>
        <v>2044361</v>
      </c>
      <c r="BV30" s="99">
        <f t="shared" si="36"/>
        <v>2044361</v>
      </c>
      <c r="BW30" s="99">
        <f t="shared" si="36"/>
        <v>2044361</v>
      </c>
    </row>
    <row r="31" spans="1:75" x14ac:dyDescent="0.3">
      <c r="A31" s="1" t="s">
        <v>134</v>
      </c>
      <c r="B31" s="47" t="s">
        <v>135</v>
      </c>
      <c r="C31" s="49">
        <v>58108</v>
      </c>
      <c r="D31" s="49">
        <v>60786</v>
      </c>
      <c r="E31" s="49">
        <v>60338</v>
      </c>
      <c r="F31" s="49">
        <v>270347</v>
      </c>
      <c r="G31" s="51">
        <f t="shared" si="9"/>
        <v>270347</v>
      </c>
      <c r="H31" s="49">
        <v>2581943</v>
      </c>
      <c r="I31" s="49">
        <v>2522010</v>
      </c>
      <c r="J31" s="49">
        <v>2775232</v>
      </c>
      <c r="K31" s="49">
        <v>3054590</v>
      </c>
      <c r="L31" s="51">
        <f t="shared" si="10"/>
        <v>3054590</v>
      </c>
      <c r="M31" s="49">
        <v>4205678</v>
      </c>
      <c r="N31" s="49">
        <v>4184993</v>
      </c>
      <c r="O31" s="49">
        <v>4083757</v>
      </c>
      <c r="P31" s="49">
        <v>3728849</v>
      </c>
      <c r="Q31" s="51">
        <f t="shared" si="11"/>
        <v>3728849</v>
      </c>
      <c r="R31" s="49">
        <v>3797797</v>
      </c>
      <c r="S31" s="49">
        <v>3755678</v>
      </c>
      <c r="T31" s="49">
        <v>3954371</v>
      </c>
      <c r="U31" s="49">
        <v>3549045</v>
      </c>
      <c r="V31" s="51">
        <f t="shared" si="12"/>
        <v>3549045</v>
      </c>
      <c r="W31" s="49">
        <v>3471473</v>
      </c>
      <c r="X31" s="49">
        <v>3575116</v>
      </c>
      <c r="Y31" s="49">
        <v>4063798</v>
      </c>
      <c r="Z31" s="49">
        <v>4665206</v>
      </c>
      <c r="AA31" s="51">
        <f t="shared" si="13"/>
        <v>4665206</v>
      </c>
      <c r="AB31" s="49">
        <v>7089189</v>
      </c>
      <c r="AC31" s="49">
        <v>7633823</v>
      </c>
      <c r="AD31" s="49">
        <f>8639792</f>
        <v>8639792</v>
      </c>
      <c r="AE31" s="49">
        <v>9425118</v>
      </c>
      <c r="AF31" s="51">
        <f t="shared" si="23"/>
        <v>9425118</v>
      </c>
      <c r="AG31" s="51">
        <f ca="1">'CAPEX, D&amp;A, Imob&amp;Intang'!AG16</f>
        <v>10712373.093454566</v>
      </c>
      <c r="AH31" s="51">
        <f ca="1">'CAPEX, D&amp;A, Imob&amp;Intang'!AH16</f>
        <v>11759458.400594095</v>
      </c>
      <c r="AI31" s="51">
        <f ca="1">'CAPEX, D&amp;A, Imob&amp;Intang'!AI16</f>
        <v>12152169.045969533</v>
      </c>
      <c r="AJ31" s="51">
        <f ca="1">'CAPEX, D&amp;A, Imob&amp;Intang'!AJ16</f>
        <v>12359828.336814087</v>
      </c>
      <c r="AK31" s="51">
        <f ca="1">'CAPEX, D&amp;A, Imob&amp;Intang'!AK16</f>
        <v>12011613.909347329</v>
      </c>
      <c r="AL31" s="51">
        <f ca="1">'CAPEX, D&amp;A, Imob&amp;Intang'!AL16</f>
        <v>11689149.838452619</v>
      </c>
      <c r="AM31" s="51">
        <f ca="1">'CAPEX, D&amp;A, Imob&amp;Intang'!AM16</f>
        <v>10314197.803534396</v>
      </c>
      <c r="AN31" s="51">
        <f ca="1">'CAPEX, D&amp;A, Imob&amp;Intang'!AN16</f>
        <v>9143430.6870687343</v>
      </c>
      <c r="AO31" s="51">
        <f ca="1">'CAPEX, D&amp;A, Imob&amp;Intang'!AO16</f>
        <v>8131828.5622944301</v>
      </c>
      <c r="AP31" s="51">
        <f ca="1">'CAPEX, D&amp;A, Imob&amp;Intang'!AP16</f>
        <v>7247492.4772802442</v>
      </c>
      <c r="AQ31" s="51">
        <f ca="1">'CAPEX, D&amp;A, Imob&amp;Intang'!AQ16</f>
        <v>6486746.4430551575</v>
      </c>
      <c r="AR31" s="51">
        <f ca="1">'CAPEX, D&amp;A, Imob&amp;Intang'!AR16</f>
        <v>5846165.2513176044</v>
      </c>
      <c r="AS31" s="51">
        <f ca="1">'CAPEX, D&amp;A, Imob&amp;Intang'!AS16</f>
        <v>5304259.0376492692</v>
      </c>
      <c r="AT31" s="51">
        <f ca="1">'CAPEX, D&amp;A, Imob&amp;Intang'!AT16</f>
        <v>4716045.3644397371</v>
      </c>
      <c r="AU31" s="51">
        <f ca="1">'CAPEX, D&amp;A, Imob&amp;Intang'!AU16</f>
        <v>4210144.6529039787</v>
      </c>
      <c r="AV31" s="51">
        <f ca="1">'CAPEX, D&amp;A, Imob&amp;Intang'!AV16</f>
        <v>3830457.2189468206</v>
      </c>
      <c r="AW31" s="51">
        <f ca="1">'CAPEX, D&amp;A, Imob&amp;Intang'!AW16</f>
        <v>3498745.7076198594</v>
      </c>
      <c r="AX31" s="51">
        <f ca="1">'CAPEX, D&amp;A, Imob&amp;Intang'!AX16</f>
        <v>3206804.5654757586</v>
      </c>
      <c r="AY31" s="51">
        <f ca="1">'CAPEX, D&amp;A, Imob&amp;Intang'!AY16</f>
        <v>2950868.3843430793</v>
      </c>
      <c r="AZ31" s="51">
        <f ca="1">'CAPEX, D&amp;A, Imob&amp;Intang'!AZ16</f>
        <v>2718273.7968699951</v>
      </c>
      <c r="BA31" s="51">
        <f ca="1">'CAPEX, D&amp;A, Imob&amp;Intang'!BA16</f>
        <v>2513395.3889857838</v>
      </c>
      <c r="BB31" s="51">
        <f ca="1">'CAPEX, D&amp;A, Imob&amp;Intang'!BB16</f>
        <v>2312799.4689431032</v>
      </c>
      <c r="BC31" s="51">
        <f ca="1">'CAPEX, D&amp;A, Imob&amp;Intang'!BC16</f>
        <v>2105319.3797706757</v>
      </c>
      <c r="BD31" s="51">
        <f ca="1">'CAPEX, D&amp;A, Imob&amp;Intang'!BD16</f>
        <v>1879081.7621297701</v>
      </c>
      <c r="BE31" s="51">
        <f ca="1">'CAPEX, D&amp;A, Imob&amp;Intang'!BE16</f>
        <v>1645076.9957952136</v>
      </c>
      <c r="BF31" s="51">
        <f ca="1">'CAPEX, D&amp;A, Imob&amp;Intang'!BF16</f>
        <v>1363348.8665936277</v>
      </c>
      <c r="BG31" s="51">
        <f ca="1">'CAPEX, D&amp;A, Imob&amp;Intang'!BG16</f>
        <v>710623.065370925</v>
      </c>
      <c r="BH31" s="51">
        <f ca="1">'CAPEX, D&amp;A, Imob&amp;Intang'!BH16</f>
        <v>301441</v>
      </c>
      <c r="BI31" s="51">
        <f ca="1">'CAPEX, D&amp;A, Imob&amp;Intang'!BI16</f>
        <v>301441</v>
      </c>
      <c r="BJ31" s="51">
        <f ca="1">'CAPEX, D&amp;A, Imob&amp;Intang'!BJ16</f>
        <v>301441</v>
      </c>
      <c r="BK31" s="51">
        <f ca="1">'CAPEX, D&amp;A, Imob&amp;Intang'!BK16</f>
        <v>301441</v>
      </c>
      <c r="BL31" s="51">
        <f ca="1">'CAPEX, D&amp;A, Imob&amp;Intang'!BL16</f>
        <v>301441</v>
      </c>
      <c r="BM31" s="51">
        <f ca="1">'CAPEX, D&amp;A, Imob&amp;Intang'!BM16</f>
        <v>301441</v>
      </c>
      <c r="BN31" s="51">
        <f ca="1">'CAPEX, D&amp;A, Imob&amp;Intang'!BN16</f>
        <v>301441</v>
      </c>
      <c r="BO31" s="51">
        <f ca="1">'CAPEX, D&amp;A, Imob&amp;Intang'!BO16</f>
        <v>301441</v>
      </c>
      <c r="BP31" s="51">
        <f ca="1">'CAPEX, D&amp;A, Imob&amp;Intang'!BP16</f>
        <v>301441</v>
      </c>
      <c r="BQ31" s="51">
        <f ca="1">'CAPEX, D&amp;A, Imob&amp;Intang'!BQ16</f>
        <v>301441</v>
      </c>
      <c r="BR31" s="51">
        <f ca="1">'CAPEX, D&amp;A, Imob&amp;Intang'!BR16</f>
        <v>301441</v>
      </c>
      <c r="BS31" s="51">
        <f ca="1">'CAPEX, D&amp;A, Imob&amp;Intang'!BS16</f>
        <v>301441</v>
      </c>
      <c r="BT31" s="51">
        <f ca="1">'CAPEX, D&amp;A, Imob&amp;Intang'!BT16</f>
        <v>301441</v>
      </c>
      <c r="BU31" s="51">
        <f ca="1">'CAPEX, D&amp;A, Imob&amp;Intang'!BU16</f>
        <v>301441</v>
      </c>
      <c r="BV31" s="51">
        <f ca="1">'CAPEX, D&amp;A, Imob&amp;Intang'!BV16</f>
        <v>301441</v>
      </c>
      <c r="BW31" s="51">
        <f ca="1">'CAPEX, D&amp;A, Imob&amp;Intang'!BW16</f>
        <v>301441</v>
      </c>
    </row>
    <row r="32" spans="1:75" x14ac:dyDescent="0.3">
      <c r="A32" s="1" t="s">
        <v>136</v>
      </c>
      <c r="B32" s="47" t="s">
        <v>137</v>
      </c>
      <c r="C32" s="49">
        <v>261239</v>
      </c>
      <c r="D32" s="49">
        <v>309432</v>
      </c>
      <c r="E32" s="49">
        <v>346504</v>
      </c>
      <c r="F32" s="49">
        <v>140949</v>
      </c>
      <c r="G32" s="51">
        <f t="shared" si="9"/>
        <v>140949</v>
      </c>
      <c r="H32" s="49">
        <v>1003370</v>
      </c>
      <c r="I32" s="49">
        <v>756788</v>
      </c>
      <c r="J32" s="49">
        <v>608776</v>
      </c>
      <c r="K32" s="49">
        <v>689529</v>
      </c>
      <c r="L32" s="51">
        <f t="shared" si="10"/>
        <v>689529</v>
      </c>
      <c r="M32" s="49">
        <v>809886</v>
      </c>
      <c r="N32" s="49">
        <v>811048</v>
      </c>
      <c r="O32" s="49">
        <v>1090455</v>
      </c>
      <c r="P32" s="49">
        <v>956866</v>
      </c>
      <c r="Q32" s="51">
        <f t="shared" si="11"/>
        <v>956866</v>
      </c>
      <c r="R32" s="49">
        <v>1127624</v>
      </c>
      <c r="S32" s="49">
        <v>1016015</v>
      </c>
      <c r="T32" s="49">
        <v>1788163</v>
      </c>
      <c r="U32" s="49">
        <v>1742326</v>
      </c>
      <c r="V32" s="51">
        <f t="shared" si="12"/>
        <v>1742326</v>
      </c>
      <c r="W32" s="49">
        <v>1471723</v>
      </c>
      <c r="X32" s="49">
        <v>3092047</v>
      </c>
      <c r="Y32" s="49">
        <v>3133222</v>
      </c>
      <c r="Z32" s="49">
        <v>2833955</v>
      </c>
      <c r="AA32" s="51">
        <f t="shared" si="13"/>
        <v>2833955</v>
      </c>
      <c r="AB32" s="49">
        <v>12437080</v>
      </c>
      <c r="AC32" s="49">
        <v>12087324</v>
      </c>
      <c r="AD32" s="49">
        <v>12224017</v>
      </c>
      <c r="AE32" s="49">
        <v>10914878</v>
      </c>
      <c r="AF32" s="51">
        <f t="shared" si="23"/>
        <v>10914878</v>
      </c>
      <c r="AG32" s="51">
        <f ca="1">'CAPEX, D&amp;A, Imob&amp;Intang'!AG56</f>
        <v>10050578.634520352</v>
      </c>
      <c r="AH32" s="51">
        <f ca="1">'CAPEX, D&amp;A, Imob&amp;Intang'!AH56</f>
        <v>9126629.2316554803</v>
      </c>
      <c r="AI32" s="51">
        <f ca="1">'CAPEX, D&amp;A, Imob&amp;Intang'!AI56</f>
        <v>8147113.1249775933</v>
      </c>
      <c r="AJ32" s="51">
        <f ca="1">'CAPEX, D&amp;A, Imob&amp;Intang'!AJ56</f>
        <v>7176642.3472081479</v>
      </c>
      <c r="AK32" s="51">
        <f ca="1">'CAPEX, D&amp;A, Imob&amp;Intang'!AK56</f>
        <v>6189742.6180731775</v>
      </c>
      <c r="AL32" s="51">
        <f ca="1">'CAPEX, D&amp;A, Imob&amp;Intang'!AL56</f>
        <v>5298466.9207898444</v>
      </c>
      <c r="AM32" s="51">
        <f ca="1">'CAPEX, D&amp;A, Imob&amp;Intang'!AM56</f>
        <v>4549475.8452820657</v>
      </c>
      <c r="AN32" s="51">
        <f ca="1">'CAPEX, D&amp;A, Imob&amp;Intang'!AN56</f>
        <v>3907626.4912461597</v>
      </c>
      <c r="AO32" s="51">
        <f ca="1">'CAPEX, D&amp;A, Imob&amp;Intang'!AO56</f>
        <v>3350465.8971540187</v>
      </c>
      <c r="AP32" s="51">
        <f ca="1">'CAPEX, D&amp;A, Imob&amp;Intang'!AP56</f>
        <v>2862291.2314348267</v>
      </c>
      <c r="AQ32" s="51">
        <f ca="1">'CAPEX, D&amp;A, Imob&amp;Intang'!AQ56</f>
        <v>2439903.6966751316</v>
      </c>
      <c r="AR32" s="51">
        <f ca="1">'CAPEX, D&amp;A, Imob&amp;Intang'!AR56</f>
        <v>2079840.4951192287</v>
      </c>
      <c r="AS32" s="51">
        <f ca="1">'CAPEX, D&amp;A, Imob&amp;Intang'!AS56</f>
        <v>1771402.0212880429</v>
      </c>
      <c r="AT32" s="51">
        <f ca="1">'CAPEX, D&amp;A, Imob&amp;Intang'!AT56</f>
        <v>1500410.5981846256</v>
      </c>
      <c r="AU32" s="51">
        <f ca="1">'CAPEX, D&amp;A, Imob&amp;Intang'!AU56</f>
        <v>1266460.7822799424</v>
      </c>
      <c r="AV32" s="51">
        <f ca="1">'CAPEX, D&amp;A, Imob&amp;Intang'!AV56</f>
        <v>1082552.1059828191</v>
      </c>
      <c r="AW32" s="51">
        <f ca="1">'CAPEX, D&amp;A, Imob&amp;Intang'!AW56</f>
        <v>921423.43341692584</v>
      </c>
      <c r="AX32" s="51">
        <f ca="1">'CAPEX, D&amp;A, Imob&amp;Intang'!AX56</f>
        <v>779841.76209064899</v>
      </c>
      <c r="AY32" s="51">
        <f ca="1">'CAPEX, D&amp;A, Imob&amp;Intang'!AY56</f>
        <v>656034.15515374904</v>
      </c>
      <c r="AZ32" s="51">
        <f ca="1">'CAPEX, D&amp;A, Imob&amp;Intang'!AZ56</f>
        <v>546082.27318090643</v>
      </c>
      <c r="BA32" s="51">
        <f ca="1">'CAPEX, D&amp;A, Imob&amp;Intang'!BA56</f>
        <v>450582.06133186561</v>
      </c>
      <c r="BB32" s="51">
        <f ca="1">'CAPEX, D&amp;A, Imob&amp;Intang'!BB56</f>
        <v>364035.92550798447</v>
      </c>
      <c r="BC32" s="51">
        <f ca="1">'CAPEX, D&amp;A, Imob&amp;Intang'!BC56</f>
        <v>284685.82748801704</v>
      </c>
      <c r="BD32" s="51">
        <f ca="1">'CAPEX, D&amp;A, Imob&amp;Intang'!BD56</f>
        <v>211459.06598442333</v>
      </c>
      <c r="BE32" s="51">
        <f ca="1">'CAPEX, D&amp;A, Imob&amp;Intang'!BE56</f>
        <v>147290.67090894456</v>
      </c>
      <c r="BF32" s="51">
        <f ca="1">'CAPEX, D&amp;A, Imob&amp;Intang'!BF56</f>
        <v>88813.55210902488</v>
      </c>
      <c r="BG32" s="51">
        <f ca="1">'CAPEX, D&amp;A, Imob&amp;Intang'!BG56</f>
        <v>34388.860395367148</v>
      </c>
      <c r="BH32" s="51">
        <f ca="1">'CAPEX, D&amp;A, Imob&amp;Intang'!BH56</f>
        <v>271</v>
      </c>
      <c r="BI32" s="51">
        <f ca="1">'CAPEX, D&amp;A, Imob&amp;Intang'!BI56</f>
        <v>271</v>
      </c>
      <c r="BJ32" s="51">
        <f ca="1">'CAPEX, D&amp;A, Imob&amp;Intang'!BJ56</f>
        <v>271</v>
      </c>
      <c r="BK32" s="51">
        <f ca="1">'CAPEX, D&amp;A, Imob&amp;Intang'!BK56</f>
        <v>271</v>
      </c>
      <c r="BL32" s="51">
        <f ca="1">'CAPEX, D&amp;A, Imob&amp;Intang'!BL56</f>
        <v>271</v>
      </c>
      <c r="BM32" s="51">
        <f ca="1">'CAPEX, D&amp;A, Imob&amp;Intang'!BM56</f>
        <v>271</v>
      </c>
      <c r="BN32" s="51">
        <f ca="1">'CAPEX, D&amp;A, Imob&amp;Intang'!BN56</f>
        <v>271</v>
      </c>
      <c r="BO32" s="51">
        <f ca="1">'CAPEX, D&amp;A, Imob&amp;Intang'!BO56</f>
        <v>271</v>
      </c>
      <c r="BP32" s="51">
        <f ca="1">'CAPEX, D&amp;A, Imob&amp;Intang'!BP56</f>
        <v>271</v>
      </c>
      <c r="BQ32" s="51">
        <f ca="1">'CAPEX, D&amp;A, Imob&amp;Intang'!BQ56</f>
        <v>271</v>
      </c>
      <c r="BR32" s="51">
        <f ca="1">'CAPEX, D&amp;A, Imob&amp;Intang'!BR56</f>
        <v>271</v>
      </c>
      <c r="BS32" s="51">
        <f ca="1">'CAPEX, D&amp;A, Imob&amp;Intang'!BS56</f>
        <v>271</v>
      </c>
      <c r="BT32" s="51">
        <f ca="1">'CAPEX, D&amp;A, Imob&amp;Intang'!BT56</f>
        <v>271</v>
      </c>
      <c r="BU32" s="51">
        <f ca="1">'CAPEX, D&amp;A, Imob&amp;Intang'!BU56</f>
        <v>271</v>
      </c>
      <c r="BV32" s="51">
        <f ca="1">'CAPEX, D&amp;A, Imob&amp;Intang'!BV56</f>
        <v>271</v>
      </c>
      <c r="BW32" s="51">
        <f ca="1">'CAPEX, D&amp;A, Imob&amp;Intang'!BW56</f>
        <v>271</v>
      </c>
    </row>
    <row r="34" spans="1:75" s="89" customFormat="1" ht="10.199999999999999" x14ac:dyDescent="0.2">
      <c r="C34" s="89">
        <f t="shared" ref="C34:AA34" si="37">C15-C16-C28</f>
        <v>0</v>
      </c>
      <c r="D34" s="89">
        <f t="shared" si="37"/>
        <v>0</v>
      </c>
      <c r="E34" s="89">
        <f t="shared" si="37"/>
        <v>0</v>
      </c>
      <c r="F34" s="89">
        <f t="shared" si="37"/>
        <v>0</v>
      </c>
      <c r="G34" s="89">
        <f t="shared" si="37"/>
        <v>0</v>
      </c>
      <c r="H34" s="89">
        <f t="shared" si="37"/>
        <v>0</v>
      </c>
      <c r="I34" s="89">
        <f t="shared" si="37"/>
        <v>0</v>
      </c>
      <c r="J34" s="89">
        <f t="shared" si="37"/>
        <v>0</v>
      </c>
      <c r="K34" s="89">
        <f t="shared" si="37"/>
        <v>0</v>
      </c>
      <c r="L34" s="89">
        <f t="shared" si="37"/>
        <v>0</v>
      </c>
      <c r="M34" s="89">
        <f t="shared" si="37"/>
        <v>0</v>
      </c>
      <c r="N34" s="89">
        <f t="shared" si="37"/>
        <v>0</v>
      </c>
      <c r="O34" s="89">
        <f t="shared" si="37"/>
        <v>0</v>
      </c>
      <c r="P34" s="89">
        <f t="shared" si="37"/>
        <v>0</v>
      </c>
      <c r="Q34" s="89">
        <f t="shared" si="37"/>
        <v>0</v>
      </c>
      <c r="R34" s="89">
        <f t="shared" si="37"/>
        <v>0</v>
      </c>
      <c r="S34" s="89">
        <f t="shared" si="37"/>
        <v>0</v>
      </c>
      <c r="T34" s="89">
        <f t="shared" si="37"/>
        <v>0</v>
      </c>
      <c r="U34" s="89">
        <f t="shared" si="37"/>
        <v>0</v>
      </c>
      <c r="V34" s="89">
        <f t="shared" si="37"/>
        <v>0</v>
      </c>
      <c r="W34" s="89">
        <f t="shared" si="37"/>
        <v>0</v>
      </c>
      <c r="X34" s="89">
        <f t="shared" si="37"/>
        <v>0</v>
      </c>
      <c r="Y34" s="89">
        <f t="shared" si="37"/>
        <v>0</v>
      </c>
      <c r="Z34" s="89">
        <f t="shared" si="37"/>
        <v>0</v>
      </c>
      <c r="AA34" s="89">
        <f t="shared" si="37"/>
        <v>0</v>
      </c>
      <c r="AB34" s="89">
        <f t="shared" ref="AB34:AF34" si="38">AB15-AB16-AB28</f>
        <v>0</v>
      </c>
      <c r="AC34" s="89">
        <f t="shared" si="38"/>
        <v>0</v>
      </c>
      <c r="AD34" s="89">
        <f t="shared" si="38"/>
        <v>0</v>
      </c>
      <c r="AE34" s="89">
        <f t="shared" si="38"/>
        <v>0</v>
      </c>
      <c r="AF34" s="89">
        <f t="shared" si="38"/>
        <v>0</v>
      </c>
      <c r="AG34" s="89">
        <f t="shared" ref="AG34:BW34" ca="1" si="39">AG15-AG16-AG28</f>
        <v>0</v>
      </c>
      <c r="AH34" s="89">
        <f t="shared" ca="1" si="39"/>
        <v>0</v>
      </c>
      <c r="AI34" s="89">
        <f t="shared" ca="1" si="39"/>
        <v>0</v>
      </c>
      <c r="AJ34" s="89">
        <f t="shared" ca="1" si="39"/>
        <v>0</v>
      </c>
      <c r="AK34" s="89">
        <f t="shared" ca="1" si="39"/>
        <v>0</v>
      </c>
      <c r="AL34" s="89">
        <f t="shared" ca="1" si="39"/>
        <v>0</v>
      </c>
      <c r="AM34" s="89">
        <f t="shared" ca="1" si="39"/>
        <v>0</v>
      </c>
      <c r="AN34" s="89">
        <f t="shared" ca="1" si="39"/>
        <v>0</v>
      </c>
      <c r="AO34" s="89">
        <f t="shared" ca="1" si="39"/>
        <v>0</v>
      </c>
      <c r="AP34" s="89">
        <f t="shared" ca="1" si="39"/>
        <v>0</v>
      </c>
      <c r="AQ34" s="89">
        <f t="shared" ca="1" si="39"/>
        <v>0</v>
      </c>
      <c r="AR34" s="89">
        <f t="shared" ca="1" si="39"/>
        <v>0</v>
      </c>
      <c r="AS34" s="89">
        <f t="shared" ca="1" si="39"/>
        <v>0</v>
      </c>
      <c r="AT34" s="89">
        <f t="shared" ca="1" si="39"/>
        <v>0</v>
      </c>
      <c r="AU34" s="89">
        <f t="shared" ca="1" si="39"/>
        <v>0</v>
      </c>
      <c r="AV34" s="89">
        <f t="shared" ca="1" si="39"/>
        <v>0</v>
      </c>
      <c r="AW34" s="89">
        <f t="shared" ca="1" si="39"/>
        <v>0</v>
      </c>
      <c r="AX34" s="89">
        <f t="shared" ca="1" si="39"/>
        <v>0</v>
      </c>
      <c r="AY34" s="89">
        <f t="shared" ca="1" si="39"/>
        <v>0</v>
      </c>
      <c r="AZ34" s="89">
        <f t="shared" ca="1" si="39"/>
        <v>0</v>
      </c>
      <c r="BA34" s="89">
        <f t="shared" ca="1" si="39"/>
        <v>0</v>
      </c>
      <c r="BB34" s="89">
        <f t="shared" ca="1" si="39"/>
        <v>0</v>
      </c>
      <c r="BC34" s="89">
        <f t="shared" ca="1" si="39"/>
        <v>0</v>
      </c>
      <c r="BD34" s="89">
        <f t="shared" ca="1" si="39"/>
        <v>0</v>
      </c>
      <c r="BE34" s="89">
        <f t="shared" ca="1" si="39"/>
        <v>0</v>
      </c>
      <c r="BF34" s="89">
        <f t="shared" ca="1" si="39"/>
        <v>0</v>
      </c>
      <c r="BG34" s="89">
        <f t="shared" ca="1" si="39"/>
        <v>0</v>
      </c>
      <c r="BH34" s="89">
        <f t="shared" ca="1" si="39"/>
        <v>0</v>
      </c>
      <c r="BI34" s="89">
        <f t="shared" ca="1" si="39"/>
        <v>0</v>
      </c>
      <c r="BJ34" s="89">
        <f t="shared" ca="1" si="39"/>
        <v>0</v>
      </c>
      <c r="BK34" s="89">
        <f t="shared" ca="1" si="39"/>
        <v>0</v>
      </c>
      <c r="BL34" s="89">
        <f t="shared" ca="1" si="39"/>
        <v>0</v>
      </c>
      <c r="BM34" s="89">
        <f t="shared" ca="1" si="39"/>
        <v>0</v>
      </c>
      <c r="BN34" s="89">
        <f t="shared" ca="1" si="39"/>
        <v>0</v>
      </c>
      <c r="BO34" s="89">
        <f t="shared" ca="1" si="39"/>
        <v>0</v>
      </c>
      <c r="BP34" s="89">
        <f t="shared" ca="1" si="39"/>
        <v>0</v>
      </c>
      <c r="BQ34" s="89">
        <f t="shared" ca="1" si="39"/>
        <v>0</v>
      </c>
      <c r="BR34" s="89">
        <f t="shared" ca="1" si="39"/>
        <v>0</v>
      </c>
      <c r="BS34" s="89">
        <f t="shared" ca="1" si="39"/>
        <v>0</v>
      </c>
      <c r="BT34" s="89">
        <f t="shared" ca="1" si="39"/>
        <v>0</v>
      </c>
      <c r="BU34" s="89">
        <f t="shared" ca="1" si="39"/>
        <v>0</v>
      </c>
      <c r="BV34" s="89">
        <f t="shared" ca="1" si="39"/>
        <v>0</v>
      </c>
      <c r="BW34" s="89">
        <f t="shared" ca="1" si="39"/>
        <v>0</v>
      </c>
    </row>
    <row r="35" spans="1:75" s="89" customFormat="1" ht="10.199999999999999" x14ac:dyDescent="0.2">
      <c r="C35" s="89">
        <f t="shared" ref="C35:AA35" si="40">C16-C17-C21-C19-C23-C25-C26-C27</f>
        <v>0</v>
      </c>
      <c r="D35" s="89">
        <f t="shared" si="40"/>
        <v>0</v>
      </c>
      <c r="E35" s="89">
        <f t="shared" si="40"/>
        <v>0</v>
      </c>
      <c r="F35" s="89">
        <f t="shared" si="40"/>
        <v>0</v>
      </c>
      <c r="G35" s="89">
        <f t="shared" si="40"/>
        <v>0</v>
      </c>
      <c r="H35" s="89">
        <f t="shared" si="40"/>
        <v>0</v>
      </c>
      <c r="I35" s="89">
        <f t="shared" si="40"/>
        <v>0</v>
      </c>
      <c r="J35" s="89">
        <f t="shared" si="40"/>
        <v>0</v>
      </c>
      <c r="K35" s="89">
        <f t="shared" si="40"/>
        <v>0</v>
      </c>
      <c r="L35" s="89">
        <f t="shared" si="40"/>
        <v>0</v>
      </c>
      <c r="M35" s="89">
        <f t="shared" si="40"/>
        <v>0</v>
      </c>
      <c r="N35" s="89">
        <f t="shared" si="40"/>
        <v>0</v>
      </c>
      <c r="O35" s="89">
        <f t="shared" si="40"/>
        <v>0</v>
      </c>
      <c r="P35" s="89">
        <f t="shared" si="40"/>
        <v>0</v>
      </c>
      <c r="Q35" s="89">
        <f t="shared" si="40"/>
        <v>0</v>
      </c>
      <c r="R35" s="89">
        <f t="shared" si="40"/>
        <v>0</v>
      </c>
      <c r="S35" s="89">
        <f t="shared" si="40"/>
        <v>0</v>
      </c>
      <c r="T35" s="89">
        <f t="shared" si="40"/>
        <v>0</v>
      </c>
      <c r="U35" s="89">
        <f t="shared" si="40"/>
        <v>0</v>
      </c>
      <c r="V35" s="89">
        <f t="shared" si="40"/>
        <v>0</v>
      </c>
      <c r="W35" s="89">
        <f t="shared" si="40"/>
        <v>0</v>
      </c>
      <c r="X35" s="89">
        <f t="shared" si="40"/>
        <v>0</v>
      </c>
      <c r="Y35" s="89">
        <f t="shared" si="40"/>
        <v>0</v>
      </c>
      <c r="Z35" s="89">
        <f t="shared" si="40"/>
        <v>0</v>
      </c>
      <c r="AA35" s="89">
        <f t="shared" si="40"/>
        <v>0</v>
      </c>
      <c r="AB35" s="89">
        <f>AB16-AB17-AB21-AB19-AB23-AB25-AB26-AB27</f>
        <v>0</v>
      </c>
      <c r="AC35" s="89">
        <f>AC16-AC17-AC21-AC19-AC23-AC25-AC26-AC27</f>
        <v>0</v>
      </c>
      <c r="AD35" s="89">
        <f>AD16-AD17-AD21-AD19-AD23-AD25-AD26-AD27</f>
        <v>0</v>
      </c>
      <c r="AE35" s="89">
        <f>AE16-AE17-AE21-AE19-AE23-AE25-AE26-AE27</f>
        <v>0</v>
      </c>
      <c r="AF35" s="89">
        <f t="shared" ref="AF35:BW35" si="41">AF16-AF17-AF21-AF19-AF23-AF25-AF26-AF27</f>
        <v>0</v>
      </c>
      <c r="AG35" s="89">
        <f t="shared" ca="1" si="41"/>
        <v>-2.3283064365386963E-10</v>
      </c>
      <c r="AH35" s="89">
        <f t="shared" ca="1" si="41"/>
        <v>0</v>
      </c>
      <c r="AI35" s="89">
        <f t="shared" ca="1" si="41"/>
        <v>4.6566128730773926E-10</v>
      </c>
      <c r="AJ35" s="89">
        <f t="shared" ca="1" si="41"/>
        <v>-2.3283064365386963E-10</v>
      </c>
      <c r="AK35" s="89">
        <f t="shared" ca="1" si="41"/>
        <v>-4.6566128730773926E-10</v>
      </c>
      <c r="AL35" s="89">
        <f t="shared" ca="1" si="41"/>
        <v>-1.1641532182693481E-9</v>
      </c>
      <c r="AM35" s="89">
        <f t="shared" ca="1" si="41"/>
        <v>-6.9849193096160889E-10</v>
      </c>
      <c r="AN35" s="89">
        <f t="shared" ca="1" si="41"/>
        <v>-9.3132257461547852E-10</v>
      </c>
      <c r="AO35" s="89">
        <f t="shared" ca="1" si="41"/>
        <v>-8.149072527885437E-10</v>
      </c>
      <c r="AP35" s="89">
        <f t="shared" ca="1" si="41"/>
        <v>0</v>
      </c>
      <c r="AQ35" s="89">
        <f t="shared" ca="1" si="41"/>
        <v>-3.4924596548080444E-10</v>
      </c>
      <c r="AR35" s="89">
        <f t="shared" ca="1" si="41"/>
        <v>0</v>
      </c>
      <c r="AS35" s="89">
        <f t="shared" ca="1" si="41"/>
        <v>0</v>
      </c>
      <c r="AT35" s="89">
        <f t="shared" ca="1" si="41"/>
        <v>0</v>
      </c>
      <c r="AU35" s="89">
        <f t="shared" ca="1" si="41"/>
        <v>4.6566128730773926E-10</v>
      </c>
      <c r="AV35" s="89">
        <f t="shared" ca="1" si="41"/>
        <v>2.3283064365386963E-10</v>
      </c>
      <c r="AW35" s="89">
        <f t="shared" ca="1" si="41"/>
        <v>0</v>
      </c>
      <c r="AX35" s="89">
        <f t="shared" ca="1" si="41"/>
        <v>-2.3283064365386963E-10</v>
      </c>
      <c r="AY35" s="89">
        <f t="shared" ca="1" si="41"/>
        <v>0</v>
      </c>
      <c r="AZ35" s="89">
        <f t="shared" ca="1" si="41"/>
        <v>3.4924596548080444E-10</v>
      </c>
      <c r="BA35" s="89">
        <f t="shared" ca="1" si="41"/>
        <v>0</v>
      </c>
      <c r="BB35" s="89">
        <f t="shared" ca="1" si="41"/>
        <v>-2.3283064365386963E-10</v>
      </c>
      <c r="BC35" s="89">
        <f t="shared" ca="1" si="41"/>
        <v>0</v>
      </c>
      <c r="BD35" s="89">
        <f t="shared" ca="1" si="41"/>
        <v>0</v>
      </c>
      <c r="BE35" s="89">
        <f t="shared" ca="1" si="41"/>
        <v>0</v>
      </c>
      <c r="BF35" s="89">
        <f t="shared" ca="1" si="41"/>
        <v>2.3283064365386963E-10</v>
      </c>
      <c r="BG35" s="89">
        <f t="shared" ca="1" si="41"/>
        <v>0</v>
      </c>
      <c r="BH35" s="89">
        <f t="shared" ca="1" si="41"/>
        <v>0</v>
      </c>
      <c r="BI35" s="89">
        <f t="shared" ca="1" si="41"/>
        <v>0</v>
      </c>
      <c r="BJ35" s="89">
        <f t="shared" ca="1" si="41"/>
        <v>0</v>
      </c>
      <c r="BK35" s="89">
        <f t="shared" ca="1" si="41"/>
        <v>0</v>
      </c>
      <c r="BL35" s="89">
        <f t="shared" ca="1" si="41"/>
        <v>0</v>
      </c>
      <c r="BM35" s="89">
        <f t="shared" ca="1" si="41"/>
        <v>0</v>
      </c>
      <c r="BN35" s="89">
        <f t="shared" ca="1" si="41"/>
        <v>0</v>
      </c>
      <c r="BO35" s="89">
        <f t="shared" ca="1" si="41"/>
        <v>0</v>
      </c>
      <c r="BP35" s="89">
        <f t="shared" ca="1" si="41"/>
        <v>0</v>
      </c>
      <c r="BQ35" s="89">
        <f t="shared" ca="1" si="41"/>
        <v>0</v>
      </c>
      <c r="BR35" s="89">
        <f t="shared" ca="1" si="41"/>
        <v>0</v>
      </c>
      <c r="BS35" s="89">
        <f t="shared" ca="1" si="41"/>
        <v>0</v>
      </c>
      <c r="BT35" s="89">
        <f t="shared" ca="1" si="41"/>
        <v>0</v>
      </c>
      <c r="BU35" s="89">
        <f t="shared" ca="1" si="41"/>
        <v>0</v>
      </c>
      <c r="BV35" s="89">
        <f t="shared" ca="1" si="41"/>
        <v>0</v>
      </c>
      <c r="BW35" s="89">
        <f t="shared" ca="1" si="41"/>
        <v>0</v>
      </c>
    </row>
    <row r="36" spans="1:75" s="89" customFormat="1" ht="10.199999999999999" x14ac:dyDescent="0.2">
      <c r="C36" s="89">
        <f t="shared" ref="C36:AA36" si="42">C28-C31-C30-C32-C29</f>
        <v>0</v>
      </c>
      <c r="D36" s="89">
        <f t="shared" si="42"/>
        <v>0</v>
      </c>
      <c r="E36" s="89">
        <f t="shared" si="42"/>
        <v>0</v>
      </c>
      <c r="F36" s="89">
        <f t="shared" si="42"/>
        <v>0</v>
      </c>
      <c r="G36" s="89">
        <f t="shared" si="42"/>
        <v>0</v>
      </c>
      <c r="H36" s="89">
        <f t="shared" si="42"/>
        <v>0</v>
      </c>
      <c r="I36" s="89">
        <f t="shared" si="42"/>
        <v>0</v>
      </c>
      <c r="J36" s="89">
        <f t="shared" si="42"/>
        <v>0</v>
      </c>
      <c r="K36" s="89">
        <f t="shared" si="42"/>
        <v>0</v>
      </c>
      <c r="L36" s="89">
        <f t="shared" si="42"/>
        <v>0</v>
      </c>
      <c r="M36" s="89">
        <f t="shared" si="42"/>
        <v>0</v>
      </c>
      <c r="N36" s="89">
        <f t="shared" si="42"/>
        <v>0</v>
      </c>
      <c r="O36" s="89">
        <f t="shared" si="42"/>
        <v>0</v>
      </c>
      <c r="P36" s="89">
        <f t="shared" si="42"/>
        <v>0</v>
      </c>
      <c r="Q36" s="89">
        <f t="shared" si="42"/>
        <v>0</v>
      </c>
      <c r="R36" s="89">
        <f t="shared" si="42"/>
        <v>0</v>
      </c>
      <c r="S36" s="89">
        <f t="shared" si="42"/>
        <v>0</v>
      </c>
      <c r="T36" s="89">
        <f t="shared" si="42"/>
        <v>0</v>
      </c>
      <c r="U36" s="89">
        <f t="shared" si="42"/>
        <v>0</v>
      </c>
      <c r="V36" s="89">
        <f t="shared" si="42"/>
        <v>0</v>
      </c>
      <c r="W36" s="89">
        <f t="shared" si="42"/>
        <v>0</v>
      </c>
      <c r="X36" s="89">
        <f t="shared" si="42"/>
        <v>0</v>
      </c>
      <c r="Y36" s="89">
        <f t="shared" si="42"/>
        <v>0</v>
      </c>
      <c r="Z36" s="89">
        <f t="shared" si="42"/>
        <v>0</v>
      </c>
      <c r="AA36" s="89">
        <f t="shared" si="42"/>
        <v>0</v>
      </c>
      <c r="AB36" s="89">
        <f t="shared" ref="AB36:AF36" si="43">AB28-AB31-AB30-AB32-AB29</f>
        <v>0</v>
      </c>
      <c r="AC36" s="89">
        <f t="shared" si="43"/>
        <v>0</v>
      </c>
      <c r="AD36" s="89">
        <f t="shared" si="43"/>
        <v>0</v>
      </c>
      <c r="AE36" s="89">
        <f t="shared" si="43"/>
        <v>0</v>
      </c>
      <c r="AF36" s="89">
        <f t="shared" si="43"/>
        <v>0</v>
      </c>
      <c r="AG36" s="89">
        <f t="shared" ref="AG36:BW36" ca="1" si="44">AG28-AG31-AG30-AG32-AG29</f>
        <v>0</v>
      </c>
      <c r="AH36" s="89">
        <f t="shared" ca="1" si="44"/>
        <v>0</v>
      </c>
      <c r="AI36" s="89">
        <f t="shared" ca="1" si="44"/>
        <v>9.3132257461547852E-10</v>
      </c>
      <c r="AJ36" s="89">
        <f t="shared" ca="1" si="44"/>
        <v>-1.862645149230957E-9</v>
      </c>
      <c r="AK36" s="89">
        <f t="shared" ca="1" si="44"/>
        <v>-9.3132257461547852E-10</v>
      </c>
      <c r="AL36" s="89">
        <f t="shared" ca="1" si="44"/>
        <v>9.3132257461547852E-10</v>
      </c>
      <c r="AM36" s="89">
        <f t="shared" ca="1" si="44"/>
        <v>9.3132257461547852E-10</v>
      </c>
      <c r="AN36" s="89">
        <f t="shared" ca="1" si="44"/>
        <v>0</v>
      </c>
      <c r="AO36" s="89">
        <f t="shared" ca="1" si="44"/>
        <v>0</v>
      </c>
      <c r="AP36" s="89">
        <f t="shared" ca="1" si="44"/>
        <v>-9.3132257461547852E-10</v>
      </c>
      <c r="AQ36" s="89">
        <f t="shared" ca="1" si="44"/>
        <v>0</v>
      </c>
      <c r="AR36" s="89">
        <f t="shared" ca="1" si="44"/>
        <v>0</v>
      </c>
      <c r="AS36" s="89">
        <f t="shared" ca="1" si="44"/>
        <v>-9.3132257461547852E-10</v>
      </c>
      <c r="AT36" s="89">
        <f t="shared" ca="1" si="44"/>
        <v>9.3132257461547852E-10</v>
      </c>
      <c r="AU36" s="89">
        <f t="shared" ca="1" si="44"/>
        <v>0</v>
      </c>
      <c r="AV36" s="89">
        <f t="shared" ca="1" si="44"/>
        <v>0</v>
      </c>
      <c r="AW36" s="89">
        <f t="shared" ca="1" si="44"/>
        <v>0</v>
      </c>
      <c r="AX36" s="89">
        <f t="shared" ca="1" si="44"/>
        <v>0</v>
      </c>
      <c r="AY36" s="89">
        <f t="shared" ca="1" si="44"/>
        <v>0</v>
      </c>
      <c r="AZ36" s="89">
        <f t="shared" ca="1" si="44"/>
        <v>0</v>
      </c>
      <c r="BA36" s="89">
        <f t="shared" ca="1" si="44"/>
        <v>0</v>
      </c>
      <c r="BB36" s="89">
        <f t="shared" ca="1" si="44"/>
        <v>0</v>
      </c>
      <c r="BC36" s="89">
        <f t="shared" ca="1" si="44"/>
        <v>0</v>
      </c>
      <c r="BD36" s="89">
        <f t="shared" ca="1" si="44"/>
        <v>0</v>
      </c>
      <c r="BE36" s="89">
        <f t="shared" ca="1" si="44"/>
        <v>0</v>
      </c>
      <c r="BF36" s="89">
        <f t="shared" ca="1" si="44"/>
        <v>0</v>
      </c>
      <c r="BG36" s="89">
        <f t="shared" ca="1" si="44"/>
        <v>0</v>
      </c>
      <c r="BH36" s="89">
        <f t="shared" ca="1" si="44"/>
        <v>0</v>
      </c>
      <c r="BI36" s="89">
        <f t="shared" ca="1" si="44"/>
        <v>0</v>
      </c>
      <c r="BJ36" s="89">
        <f t="shared" ca="1" si="44"/>
        <v>0</v>
      </c>
      <c r="BK36" s="89">
        <f t="shared" ca="1" si="44"/>
        <v>0</v>
      </c>
      <c r="BL36" s="89">
        <f t="shared" ca="1" si="44"/>
        <v>0</v>
      </c>
      <c r="BM36" s="89">
        <f t="shared" ca="1" si="44"/>
        <v>0</v>
      </c>
      <c r="BN36" s="89">
        <f t="shared" ca="1" si="44"/>
        <v>0</v>
      </c>
      <c r="BO36" s="89">
        <f t="shared" ca="1" si="44"/>
        <v>0</v>
      </c>
      <c r="BP36" s="89">
        <f t="shared" ca="1" si="44"/>
        <v>0</v>
      </c>
      <c r="BQ36" s="89">
        <f t="shared" ca="1" si="44"/>
        <v>0</v>
      </c>
      <c r="BR36" s="89">
        <f t="shared" ca="1" si="44"/>
        <v>0</v>
      </c>
      <c r="BS36" s="89">
        <f t="shared" ca="1" si="44"/>
        <v>0</v>
      </c>
      <c r="BT36" s="89">
        <f t="shared" ca="1" si="44"/>
        <v>0</v>
      </c>
      <c r="BU36" s="89">
        <f t="shared" ca="1" si="44"/>
        <v>0</v>
      </c>
      <c r="BV36" s="89">
        <f t="shared" ca="1" si="44"/>
        <v>0</v>
      </c>
      <c r="BW36" s="89">
        <f t="shared" ca="1" si="44"/>
        <v>0</v>
      </c>
    </row>
    <row r="38" spans="1:75" s="211" customFormat="1" x14ac:dyDescent="0.3">
      <c r="A38" s="210" t="s">
        <v>175</v>
      </c>
    </row>
    <row r="40" spans="1:75" x14ac:dyDescent="0.3">
      <c r="A40" s="1" t="s">
        <v>110</v>
      </c>
      <c r="B40" s="1" t="s">
        <v>111</v>
      </c>
    </row>
    <row r="41" spans="1:75" x14ac:dyDescent="0.3">
      <c r="A41" s="35">
        <v>2</v>
      </c>
      <c r="B41" s="38" t="s">
        <v>1180</v>
      </c>
      <c r="C41" s="48">
        <f t="shared" ref="C41:AC41" si="45">C42+C51+C57</f>
        <v>1228426</v>
      </c>
      <c r="D41" s="48">
        <f t="shared" si="45"/>
        <v>1459604</v>
      </c>
      <c r="E41" s="48">
        <f t="shared" si="45"/>
        <v>1279999</v>
      </c>
      <c r="F41" s="48">
        <f t="shared" si="45"/>
        <v>1516180</v>
      </c>
      <c r="G41" s="48">
        <f t="shared" si="45"/>
        <v>1516180</v>
      </c>
      <c r="H41" s="48">
        <f t="shared" si="45"/>
        <v>4332603</v>
      </c>
      <c r="I41" s="48">
        <f t="shared" si="45"/>
        <v>4387144</v>
      </c>
      <c r="J41" s="48">
        <f t="shared" si="45"/>
        <v>4596221</v>
      </c>
      <c r="K41" s="48">
        <f t="shared" si="45"/>
        <v>5489751</v>
      </c>
      <c r="L41" s="48">
        <f t="shared" si="45"/>
        <v>5489751</v>
      </c>
      <c r="M41" s="48">
        <f t="shared" si="45"/>
        <v>6984388</v>
      </c>
      <c r="N41" s="48">
        <f t="shared" si="45"/>
        <v>6660586</v>
      </c>
      <c r="O41" s="48">
        <f t="shared" si="45"/>
        <v>7055431</v>
      </c>
      <c r="P41" s="48">
        <f t="shared" si="45"/>
        <v>6792833</v>
      </c>
      <c r="Q41" s="48">
        <f t="shared" si="45"/>
        <v>6792833</v>
      </c>
      <c r="R41" s="48">
        <f t="shared" si="45"/>
        <v>9341748</v>
      </c>
      <c r="S41" s="48">
        <f t="shared" si="45"/>
        <v>10504500</v>
      </c>
      <c r="T41" s="48">
        <f t="shared" si="45"/>
        <v>11445166</v>
      </c>
      <c r="U41" s="48">
        <f t="shared" si="45"/>
        <v>12221416</v>
      </c>
      <c r="V41" s="48">
        <f t="shared" si="45"/>
        <v>12221416</v>
      </c>
      <c r="W41" s="48">
        <f t="shared" si="45"/>
        <v>12862921</v>
      </c>
      <c r="X41" s="48">
        <f t="shared" si="45"/>
        <v>16292271</v>
      </c>
      <c r="Y41" s="48">
        <f t="shared" si="45"/>
        <v>19920152</v>
      </c>
      <c r="Z41" s="48">
        <f t="shared" si="45"/>
        <v>20302520</v>
      </c>
      <c r="AA41" s="48">
        <f t="shared" si="45"/>
        <v>20302520</v>
      </c>
      <c r="AB41" s="48">
        <f t="shared" si="45"/>
        <v>25623115</v>
      </c>
      <c r="AC41" s="48">
        <f t="shared" si="45"/>
        <v>25991952</v>
      </c>
      <c r="AD41" s="48">
        <f t="shared" ref="AD41" si="46">AD42+AD51+AD57</f>
        <v>28521683</v>
      </c>
      <c r="AE41" s="48">
        <f>AE42+AE51+AE57</f>
        <v>28310932</v>
      </c>
      <c r="AF41" s="48">
        <f t="shared" ref="AF41:AF64" si="47">AE41</f>
        <v>28310932</v>
      </c>
      <c r="AG41" s="48">
        <f t="shared" ref="AG41:BW41" ca="1" si="48">AG42+AG51+AG57</f>
        <v>31581084.05536069</v>
      </c>
      <c r="AH41" s="48">
        <f t="shared" ca="1" si="48"/>
        <v>33572063.786920846</v>
      </c>
      <c r="AI41" s="48">
        <f t="shared" ca="1" si="48"/>
        <v>33170491.916666426</v>
      </c>
      <c r="AJ41" s="48">
        <f t="shared" ca="1" si="48"/>
        <v>32687196.773798212</v>
      </c>
      <c r="AK41" s="48">
        <f t="shared" ca="1" si="48"/>
        <v>30986194.695977062</v>
      </c>
      <c r="AL41" s="48">
        <f t="shared" ca="1" si="48"/>
        <v>29886381.469726615</v>
      </c>
      <c r="AM41" s="48">
        <f t="shared" ca="1" si="48"/>
        <v>26916798.672987547</v>
      </c>
      <c r="AN41" s="48">
        <f t="shared" ca="1" si="48"/>
        <v>23832107.407617748</v>
      </c>
      <c r="AO41" s="48">
        <f t="shared" ca="1" si="48"/>
        <v>21433823.389629684</v>
      </c>
      <c r="AP41" s="48">
        <f t="shared" ca="1" si="48"/>
        <v>19395570.101802319</v>
      </c>
      <c r="AQ41" s="48">
        <f t="shared" ca="1" si="48"/>
        <v>17650434.644394003</v>
      </c>
      <c r="AR41" s="48">
        <f t="shared" ca="1" si="48"/>
        <v>16079098.396633603</v>
      </c>
      <c r="AS41" s="48">
        <f t="shared" ca="1" si="48"/>
        <v>14649459.921516705</v>
      </c>
      <c r="AT41" s="48">
        <f t="shared" ca="1" si="48"/>
        <v>13302848.899551481</v>
      </c>
      <c r="AU41" s="48">
        <f t="shared" ca="1" si="48"/>
        <v>12209966.630380344</v>
      </c>
      <c r="AV41" s="48">
        <f t="shared" ca="1" si="48"/>
        <v>11341947.527887326</v>
      </c>
      <c r="AW41" s="48">
        <f t="shared" ca="1" si="48"/>
        <v>10246534.499615597</v>
      </c>
      <c r="AX41" s="48">
        <f t="shared" ca="1" si="48"/>
        <v>9562785.4872837961</v>
      </c>
      <c r="AY41" s="48">
        <f t="shared" ca="1" si="48"/>
        <v>8961601.1517826784</v>
      </c>
      <c r="AZ41" s="48">
        <f t="shared" ca="1" si="48"/>
        <v>8409594.1230936684</v>
      </c>
      <c r="BA41" s="48">
        <f t="shared" ca="1" si="48"/>
        <v>7945696.9763738383</v>
      </c>
      <c r="BB41" s="48">
        <f t="shared" ca="1" si="48"/>
        <v>7476886.71284167</v>
      </c>
      <c r="BC41" s="48">
        <f t="shared" ca="1" si="48"/>
        <v>7086174.0300291702</v>
      </c>
      <c r="BD41" s="48">
        <f t="shared" ca="1" si="48"/>
        <v>6705604.7400650047</v>
      </c>
      <c r="BE41" s="48">
        <f t="shared" ca="1" si="48"/>
        <v>6337949.9291409384</v>
      </c>
      <c r="BF41" s="48">
        <f t="shared" ca="1" si="48"/>
        <v>5871608.284265521</v>
      </c>
      <c r="BG41" s="48">
        <f t="shared" ca="1" si="48"/>
        <v>5092704.2069542576</v>
      </c>
      <c r="BH41" s="48">
        <f t="shared" ca="1" si="48"/>
        <v>4604108.8570890557</v>
      </c>
      <c r="BI41" s="48">
        <f t="shared" ca="1" si="48"/>
        <v>4227782.6406060979</v>
      </c>
      <c r="BJ41" s="48">
        <f t="shared" ca="1" si="48"/>
        <v>3542103</v>
      </c>
      <c r="BK41" s="48">
        <f t="shared" ca="1" si="48"/>
        <v>3542103</v>
      </c>
      <c r="BL41" s="48">
        <f t="shared" ca="1" si="48"/>
        <v>3542103</v>
      </c>
      <c r="BM41" s="48">
        <f t="shared" ca="1" si="48"/>
        <v>3542103</v>
      </c>
      <c r="BN41" s="48">
        <f t="shared" ca="1" si="48"/>
        <v>3542103</v>
      </c>
      <c r="BO41" s="48">
        <f t="shared" ca="1" si="48"/>
        <v>3542103</v>
      </c>
      <c r="BP41" s="48">
        <f t="shared" ca="1" si="48"/>
        <v>3542103</v>
      </c>
      <c r="BQ41" s="48">
        <f t="shared" ca="1" si="48"/>
        <v>3542103</v>
      </c>
      <c r="BR41" s="48">
        <f t="shared" ca="1" si="48"/>
        <v>3542103</v>
      </c>
      <c r="BS41" s="48">
        <f t="shared" ca="1" si="48"/>
        <v>3542103</v>
      </c>
      <c r="BT41" s="48">
        <f t="shared" ca="1" si="48"/>
        <v>3542103</v>
      </c>
      <c r="BU41" s="48">
        <f t="shared" ca="1" si="48"/>
        <v>3542103</v>
      </c>
      <c r="BV41" s="48">
        <f t="shared" ca="1" si="48"/>
        <v>3542103</v>
      </c>
      <c r="BW41" s="48">
        <f t="shared" ca="1" si="48"/>
        <v>3542103</v>
      </c>
    </row>
    <row r="42" spans="1:75" s="38" customFormat="1" x14ac:dyDescent="0.3">
      <c r="A42" s="1" t="s">
        <v>141</v>
      </c>
      <c r="B42" s="64" t="s">
        <v>142</v>
      </c>
      <c r="C42" s="48">
        <f t="shared" ref="C42:AC42" si="49">C43+C44+C46+C47+C49+C50+C48</f>
        <v>187516</v>
      </c>
      <c r="D42" s="48">
        <f t="shared" si="49"/>
        <v>348923</v>
      </c>
      <c r="E42" s="48">
        <f t="shared" si="49"/>
        <v>167482</v>
      </c>
      <c r="F42" s="48">
        <f t="shared" si="49"/>
        <v>370986</v>
      </c>
      <c r="G42" s="48">
        <f t="shared" si="49"/>
        <v>370986</v>
      </c>
      <c r="H42" s="48">
        <f t="shared" si="49"/>
        <v>922201</v>
      </c>
      <c r="I42" s="48">
        <f t="shared" si="49"/>
        <v>879977</v>
      </c>
      <c r="J42" s="48">
        <f t="shared" si="49"/>
        <v>1137572</v>
      </c>
      <c r="K42" s="48">
        <f t="shared" si="49"/>
        <v>1669783</v>
      </c>
      <c r="L42" s="48">
        <f t="shared" si="49"/>
        <v>1669783</v>
      </c>
      <c r="M42" s="48">
        <f t="shared" si="49"/>
        <v>2322377</v>
      </c>
      <c r="N42" s="48">
        <f t="shared" si="49"/>
        <v>1907633</v>
      </c>
      <c r="O42" s="48">
        <f t="shared" si="49"/>
        <v>2050218</v>
      </c>
      <c r="P42" s="48">
        <f t="shared" si="49"/>
        <v>2149449</v>
      </c>
      <c r="Q42" s="48">
        <f t="shared" si="49"/>
        <v>2149449</v>
      </c>
      <c r="R42" s="48">
        <f t="shared" si="49"/>
        <v>2354059</v>
      </c>
      <c r="S42" s="48">
        <f t="shared" si="49"/>
        <v>905094</v>
      </c>
      <c r="T42" s="48">
        <f t="shared" si="49"/>
        <v>1225154</v>
      </c>
      <c r="U42" s="48">
        <f t="shared" si="49"/>
        <v>1085997</v>
      </c>
      <c r="V42" s="48">
        <f t="shared" si="49"/>
        <v>1085997</v>
      </c>
      <c r="W42" s="48">
        <f t="shared" si="49"/>
        <v>904949</v>
      </c>
      <c r="X42" s="48">
        <f t="shared" si="49"/>
        <v>972762</v>
      </c>
      <c r="Y42" s="48">
        <f t="shared" si="49"/>
        <v>1422362</v>
      </c>
      <c r="Z42" s="48">
        <f t="shared" si="49"/>
        <v>1387739</v>
      </c>
      <c r="AA42" s="48">
        <f t="shared" si="49"/>
        <v>1387739</v>
      </c>
      <c r="AB42" s="48">
        <f t="shared" si="49"/>
        <v>3177777</v>
      </c>
      <c r="AC42" s="48">
        <f t="shared" si="49"/>
        <v>4067412</v>
      </c>
      <c r="AD42" s="48">
        <f>AD43+AD44+AD46+AD47+AD49+AD50+AD48</f>
        <v>3857691</v>
      </c>
      <c r="AE42" s="48">
        <f t="shared" ref="AE42" si="50">AE43+AE44+AE46+AE47+AE49+AE50+AE48</f>
        <v>3463811</v>
      </c>
      <c r="AF42" s="48">
        <f t="shared" si="47"/>
        <v>3463811</v>
      </c>
      <c r="AG42" s="48">
        <f t="shared" ref="AG42:BW42" ca="1" si="51">AG43+AG44+AG46+AG47+AG49+AG50+AG48</f>
        <v>3393754.389859234</v>
      </c>
      <c r="AH42" s="48">
        <f t="shared" ca="1" si="51"/>
        <v>3373098.6017206488</v>
      </c>
      <c r="AI42" s="48">
        <f t="shared" ca="1" si="51"/>
        <v>2749867.5144570186</v>
      </c>
      <c r="AJ42" s="48">
        <f t="shared" ca="1" si="51"/>
        <v>2685136.1776392334</v>
      </c>
      <c r="AK42" s="48">
        <f t="shared" ca="1" si="51"/>
        <v>2488403.9060566025</v>
      </c>
      <c r="AL42" s="48">
        <f t="shared" ca="1" si="51"/>
        <v>2558852.5663363412</v>
      </c>
      <c r="AM42" s="48">
        <f t="shared" ca="1" si="51"/>
        <v>2456216.4577874104</v>
      </c>
      <c r="AN42" s="48">
        <f t="shared" ca="1" si="51"/>
        <v>2272332.764187315</v>
      </c>
      <c r="AO42" s="48">
        <f t="shared" ca="1" si="51"/>
        <v>2130548.1137365028</v>
      </c>
      <c r="AP42" s="48">
        <f t="shared" ca="1" si="51"/>
        <v>2022732.2881360506</v>
      </c>
      <c r="AQ42" s="48">
        <f t="shared" ca="1" si="51"/>
        <v>1931607.0931174327</v>
      </c>
      <c r="AR42" s="48">
        <f t="shared" ca="1" si="51"/>
        <v>1839866.2041988834</v>
      </c>
      <c r="AS42" s="48">
        <f t="shared" ca="1" si="51"/>
        <v>1746405.7233011171</v>
      </c>
      <c r="AT42" s="48">
        <f t="shared" ca="1" si="51"/>
        <v>1670569.472492883</v>
      </c>
      <c r="AU42" s="48">
        <f t="shared" ca="1" si="51"/>
        <v>1615239.7161875828</v>
      </c>
      <c r="AV42" s="48">
        <f t="shared" ca="1" si="51"/>
        <v>1556855.2112726527</v>
      </c>
      <c r="AW42" s="48">
        <f t="shared" ca="1" si="51"/>
        <v>1466682.7121677063</v>
      </c>
      <c r="AX42" s="48">
        <f t="shared" ca="1" si="51"/>
        <v>1430714.5358859943</v>
      </c>
      <c r="AY42" s="48">
        <f t="shared" ca="1" si="51"/>
        <v>1398221.0206213908</v>
      </c>
      <c r="AZ42" s="48">
        <f t="shared" ca="1" si="51"/>
        <v>1367464.621067523</v>
      </c>
      <c r="BA42" s="48">
        <f t="shared" ca="1" si="51"/>
        <v>1342980.4177785255</v>
      </c>
      <c r="BB42" s="48">
        <f t="shared" ca="1" si="51"/>
        <v>1316787.7760517846</v>
      </c>
      <c r="BC42" s="48">
        <f t="shared" ca="1" si="51"/>
        <v>1301590.4777218972</v>
      </c>
      <c r="BD42" s="48">
        <f t="shared" ca="1" si="51"/>
        <v>1289734.1918053417</v>
      </c>
      <c r="BE42" s="48">
        <f t="shared" ca="1" si="51"/>
        <v>1279254.0858700217</v>
      </c>
      <c r="BF42" s="48">
        <f t="shared" ca="1" si="51"/>
        <v>1261144.2336222001</v>
      </c>
      <c r="BG42" s="48">
        <f t="shared" ca="1" si="51"/>
        <v>1250552.2546961107</v>
      </c>
      <c r="BH42" s="48">
        <f t="shared" ca="1" si="51"/>
        <v>1243847.0490336407</v>
      </c>
      <c r="BI42" s="48">
        <f t="shared" ca="1" si="51"/>
        <v>1188533.8761148572</v>
      </c>
      <c r="BJ42" s="48">
        <f t="shared" ca="1" si="51"/>
        <v>1088506</v>
      </c>
      <c r="BK42" s="48">
        <f t="shared" ca="1" si="51"/>
        <v>1088506</v>
      </c>
      <c r="BL42" s="48">
        <f t="shared" ca="1" si="51"/>
        <v>1088506</v>
      </c>
      <c r="BM42" s="48">
        <f t="shared" ca="1" si="51"/>
        <v>1088506</v>
      </c>
      <c r="BN42" s="48">
        <f t="shared" ca="1" si="51"/>
        <v>1088506</v>
      </c>
      <c r="BO42" s="48">
        <f t="shared" ca="1" si="51"/>
        <v>1088506</v>
      </c>
      <c r="BP42" s="48">
        <f t="shared" ca="1" si="51"/>
        <v>1088506</v>
      </c>
      <c r="BQ42" s="48">
        <f t="shared" ca="1" si="51"/>
        <v>1088506</v>
      </c>
      <c r="BR42" s="48">
        <f t="shared" ca="1" si="51"/>
        <v>1088506</v>
      </c>
      <c r="BS42" s="48">
        <f t="shared" ca="1" si="51"/>
        <v>1088506</v>
      </c>
      <c r="BT42" s="48">
        <f t="shared" ca="1" si="51"/>
        <v>1088506</v>
      </c>
      <c r="BU42" s="48">
        <f t="shared" ca="1" si="51"/>
        <v>1088506</v>
      </c>
      <c r="BV42" s="48">
        <f t="shared" ca="1" si="51"/>
        <v>1088506</v>
      </c>
      <c r="BW42" s="48">
        <f t="shared" ca="1" si="51"/>
        <v>1088506</v>
      </c>
    </row>
    <row r="43" spans="1:75" x14ac:dyDescent="0.3">
      <c r="A43" s="1" t="s">
        <v>143</v>
      </c>
      <c r="B43" s="42" t="s">
        <v>144</v>
      </c>
      <c r="C43" s="49">
        <v>7074</v>
      </c>
      <c r="D43" s="49">
        <v>7996</v>
      </c>
      <c r="E43" s="49">
        <v>5192</v>
      </c>
      <c r="F43" s="49">
        <v>14923</v>
      </c>
      <c r="G43" s="51">
        <f t="shared" ref="G43:G64" si="52">F43</f>
        <v>14923</v>
      </c>
      <c r="H43" s="49">
        <v>21691</v>
      </c>
      <c r="I43" s="49">
        <v>32618</v>
      </c>
      <c r="J43" s="49">
        <v>36108</v>
      </c>
      <c r="K43" s="49">
        <v>39359</v>
      </c>
      <c r="L43" s="51">
        <f t="shared" ref="L43:L64" si="53">K43</f>
        <v>39359</v>
      </c>
      <c r="M43" s="49">
        <v>40457</v>
      </c>
      <c r="N43" s="49">
        <v>50663</v>
      </c>
      <c r="O43" s="49">
        <v>58054</v>
      </c>
      <c r="P43" s="49">
        <v>54857</v>
      </c>
      <c r="Q43" s="51">
        <f t="shared" ref="Q43:Q64" si="54">P43</f>
        <v>54857</v>
      </c>
      <c r="R43" s="49">
        <v>41101</v>
      </c>
      <c r="S43" s="49">
        <v>74923</v>
      </c>
      <c r="T43" s="49">
        <v>105896</v>
      </c>
      <c r="U43" s="49">
        <v>131475</v>
      </c>
      <c r="V43" s="51">
        <f t="shared" ref="V43:V64" si="55">U43</f>
        <v>131475</v>
      </c>
      <c r="W43" s="49">
        <v>111779</v>
      </c>
      <c r="X43" s="49">
        <v>127701</v>
      </c>
      <c r="Y43" s="49">
        <v>128626</v>
      </c>
      <c r="Z43" s="49">
        <v>138003</v>
      </c>
      <c r="AA43" s="51">
        <f t="shared" ref="AA43:AA64" si="56">Z43</f>
        <v>138003</v>
      </c>
      <c r="AB43" s="49">
        <v>163959</v>
      </c>
      <c r="AC43" s="49">
        <v>180905</v>
      </c>
      <c r="AD43" s="49">
        <v>198965</v>
      </c>
      <c r="AE43" s="49">
        <v>266893</v>
      </c>
      <c r="AF43" s="51">
        <f t="shared" si="47"/>
        <v>266893</v>
      </c>
      <c r="AG43" s="51">
        <f t="shared" ref="AG43:BL43" si="57">AF43</f>
        <v>266893</v>
      </c>
      <c r="AH43" s="51">
        <f t="shared" si="57"/>
        <v>266893</v>
      </c>
      <c r="AI43" s="51">
        <f t="shared" si="57"/>
        <v>266893</v>
      </c>
      <c r="AJ43" s="51">
        <f t="shared" si="57"/>
        <v>266893</v>
      </c>
      <c r="AK43" s="51">
        <f t="shared" si="57"/>
        <v>266893</v>
      </c>
      <c r="AL43" s="51">
        <f t="shared" si="57"/>
        <v>266893</v>
      </c>
      <c r="AM43" s="51">
        <f t="shared" si="57"/>
        <v>266893</v>
      </c>
      <c r="AN43" s="51">
        <f t="shared" si="57"/>
        <v>266893</v>
      </c>
      <c r="AO43" s="51">
        <f t="shared" si="57"/>
        <v>266893</v>
      </c>
      <c r="AP43" s="51">
        <f t="shared" si="57"/>
        <v>266893</v>
      </c>
      <c r="AQ43" s="51">
        <f t="shared" si="57"/>
        <v>266893</v>
      </c>
      <c r="AR43" s="51">
        <f t="shared" si="57"/>
        <v>266893</v>
      </c>
      <c r="AS43" s="51">
        <f t="shared" si="57"/>
        <v>266893</v>
      </c>
      <c r="AT43" s="51">
        <f t="shared" si="57"/>
        <v>266893</v>
      </c>
      <c r="AU43" s="51">
        <f t="shared" si="57"/>
        <v>266893</v>
      </c>
      <c r="AV43" s="51">
        <f t="shared" si="57"/>
        <v>266893</v>
      </c>
      <c r="AW43" s="51">
        <f t="shared" si="57"/>
        <v>266893</v>
      </c>
      <c r="AX43" s="51">
        <f t="shared" si="57"/>
        <v>266893</v>
      </c>
      <c r="AY43" s="51">
        <f t="shared" si="57"/>
        <v>266893</v>
      </c>
      <c r="AZ43" s="51">
        <f t="shared" si="57"/>
        <v>266893</v>
      </c>
      <c r="BA43" s="51">
        <f t="shared" si="57"/>
        <v>266893</v>
      </c>
      <c r="BB43" s="51">
        <f t="shared" si="57"/>
        <v>266893</v>
      </c>
      <c r="BC43" s="51">
        <f t="shared" si="57"/>
        <v>266893</v>
      </c>
      <c r="BD43" s="51">
        <f t="shared" si="57"/>
        <v>266893</v>
      </c>
      <c r="BE43" s="51">
        <f t="shared" si="57"/>
        <v>266893</v>
      </c>
      <c r="BF43" s="51">
        <f t="shared" si="57"/>
        <v>266893</v>
      </c>
      <c r="BG43" s="51">
        <f t="shared" si="57"/>
        <v>266893</v>
      </c>
      <c r="BH43" s="51">
        <f t="shared" si="57"/>
        <v>266893</v>
      </c>
      <c r="BI43" s="51">
        <f t="shared" si="57"/>
        <v>266893</v>
      </c>
      <c r="BJ43" s="51">
        <f>BI43</f>
        <v>266893</v>
      </c>
      <c r="BK43" s="51">
        <f t="shared" si="57"/>
        <v>266893</v>
      </c>
      <c r="BL43" s="51">
        <f t="shared" si="57"/>
        <v>266893</v>
      </c>
      <c r="BM43" s="51">
        <f t="shared" ref="BM43:BW43" si="58">BL43</f>
        <v>266893</v>
      </c>
      <c r="BN43" s="51">
        <f t="shared" si="58"/>
        <v>266893</v>
      </c>
      <c r="BO43" s="51">
        <f t="shared" si="58"/>
        <v>266893</v>
      </c>
      <c r="BP43" s="51">
        <f t="shared" si="58"/>
        <v>266893</v>
      </c>
      <c r="BQ43" s="51">
        <f t="shared" si="58"/>
        <v>266893</v>
      </c>
      <c r="BR43" s="51">
        <f t="shared" si="58"/>
        <v>266893</v>
      </c>
      <c r="BS43" s="51">
        <f t="shared" si="58"/>
        <v>266893</v>
      </c>
      <c r="BT43" s="51">
        <f t="shared" si="58"/>
        <v>266893</v>
      </c>
      <c r="BU43" s="51">
        <f t="shared" si="58"/>
        <v>266893</v>
      </c>
      <c r="BV43" s="51">
        <f t="shared" si="58"/>
        <v>266893</v>
      </c>
      <c r="BW43" s="51">
        <f t="shared" si="58"/>
        <v>266893</v>
      </c>
    </row>
    <row r="44" spans="1:75" x14ac:dyDescent="0.3">
      <c r="A44" s="1" t="s">
        <v>145</v>
      </c>
      <c r="B44" s="42" t="s">
        <v>146</v>
      </c>
      <c r="C44" s="49">
        <v>72888</v>
      </c>
      <c r="D44" s="49">
        <v>91620</v>
      </c>
      <c r="E44" s="49">
        <v>92833</v>
      </c>
      <c r="F44" s="49">
        <v>73258</v>
      </c>
      <c r="G44" s="51">
        <f t="shared" si="52"/>
        <v>73258</v>
      </c>
      <c r="H44" s="49">
        <v>127426</v>
      </c>
      <c r="I44" s="49">
        <v>126570</v>
      </c>
      <c r="J44" s="49">
        <v>129731</v>
      </c>
      <c r="K44" s="49">
        <v>87232</v>
      </c>
      <c r="L44" s="51">
        <f t="shared" si="53"/>
        <v>87232</v>
      </c>
      <c r="M44" s="49">
        <v>110976</v>
      </c>
      <c r="N44" s="49">
        <v>139859</v>
      </c>
      <c r="O44" s="49">
        <v>281408</v>
      </c>
      <c r="P44" s="49">
        <v>236889</v>
      </c>
      <c r="Q44" s="51">
        <f t="shared" si="54"/>
        <v>236889</v>
      </c>
      <c r="R44" s="49">
        <v>119524</v>
      </c>
      <c r="S44" s="49">
        <v>152400</v>
      </c>
      <c r="T44" s="49">
        <v>204816</v>
      </c>
      <c r="U44" s="49">
        <v>292204</v>
      </c>
      <c r="V44" s="51">
        <f t="shared" si="55"/>
        <v>292204</v>
      </c>
      <c r="W44" s="49">
        <v>262789</v>
      </c>
      <c r="X44" s="49">
        <v>316734</v>
      </c>
      <c r="Y44" s="49">
        <v>334084</v>
      </c>
      <c r="Z44" s="49">
        <v>565926</v>
      </c>
      <c r="AA44" s="51">
        <f t="shared" si="56"/>
        <v>565926</v>
      </c>
      <c r="AB44" s="49">
        <v>605633</v>
      </c>
      <c r="AC44" s="49">
        <v>757359</v>
      </c>
      <c r="AD44" s="49">
        <v>638038</v>
      </c>
      <c r="AE44" s="49">
        <v>834778</v>
      </c>
      <c r="AF44" s="51">
        <f t="shared" si="47"/>
        <v>834778</v>
      </c>
      <c r="AG44" s="51">
        <f t="shared" ref="AG44:BW44" ca="1" si="59">AG8/AG9*AG45</f>
        <v>835622.63900439651</v>
      </c>
      <c r="AH44" s="51">
        <f t="shared" ca="1" si="59"/>
        <v>1139372.0885059272</v>
      </c>
      <c r="AI44" s="51">
        <f t="shared" ca="1" si="59"/>
        <v>1259323.9092905615</v>
      </c>
      <c r="AJ44" s="51">
        <f t="shared" ca="1" si="59"/>
        <v>1372673.3531060559</v>
      </c>
      <c r="AK44" s="51">
        <f t="shared" ca="1" si="59"/>
        <v>1399897.9060566027</v>
      </c>
      <c r="AL44" s="51">
        <f t="shared" ca="1" si="59"/>
        <v>1470346.566336341</v>
      </c>
      <c r="AM44" s="51">
        <f t="shared" ca="1" si="59"/>
        <v>1367710.4577874101</v>
      </c>
      <c r="AN44" s="51">
        <f t="shared" ca="1" si="59"/>
        <v>1183826.764187315</v>
      </c>
      <c r="AO44" s="51">
        <f t="shared" ca="1" si="59"/>
        <v>1042042.1137365031</v>
      </c>
      <c r="AP44" s="51">
        <f t="shared" ca="1" si="59"/>
        <v>934226.28813605045</v>
      </c>
      <c r="AQ44" s="51">
        <f t="shared" ca="1" si="59"/>
        <v>843101.09311743255</v>
      </c>
      <c r="AR44" s="51">
        <f t="shared" ca="1" si="59"/>
        <v>751360.2041988835</v>
      </c>
      <c r="AS44" s="51">
        <f t="shared" ca="1" si="59"/>
        <v>657899.72330111708</v>
      </c>
      <c r="AT44" s="51">
        <f t="shared" ca="1" si="59"/>
        <v>582063.47249288298</v>
      </c>
      <c r="AU44" s="51">
        <f t="shared" ca="1" si="59"/>
        <v>526733.71618758293</v>
      </c>
      <c r="AV44" s="51">
        <f t="shared" ca="1" si="59"/>
        <v>468349.21127265273</v>
      </c>
      <c r="AW44" s="51">
        <f t="shared" ca="1" si="59"/>
        <v>378176.71216770646</v>
      </c>
      <c r="AX44" s="51">
        <f t="shared" ca="1" si="59"/>
        <v>342208.53588599421</v>
      </c>
      <c r="AY44" s="51">
        <f t="shared" ca="1" si="59"/>
        <v>309715.02062139078</v>
      </c>
      <c r="AZ44" s="51">
        <f t="shared" ca="1" si="59"/>
        <v>278958.62106752291</v>
      </c>
      <c r="BA44" s="51">
        <f t="shared" ca="1" si="59"/>
        <v>254474.41777852544</v>
      </c>
      <c r="BB44" s="51">
        <f t="shared" ca="1" si="59"/>
        <v>228281.77605178457</v>
      </c>
      <c r="BC44" s="51">
        <f t="shared" ca="1" si="59"/>
        <v>213084.47772189722</v>
      </c>
      <c r="BD44" s="51">
        <f t="shared" ca="1" si="59"/>
        <v>201228.1918053416</v>
      </c>
      <c r="BE44" s="51">
        <f t="shared" ca="1" si="59"/>
        <v>190748.08587002178</v>
      </c>
      <c r="BF44" s="51">
        <f t="shared" ca="1" si="59"/>
        <v>172638.23362220009</v>
      </c>
      <c r="BG44" s="51">
        <f t="shared" ca="1" si="59"/>
        <v>162046.25469611087</v>
      </c>
      <c r="BH44" s="51">
        <f t="shared" ca="1" si="59"/>
        <v>155341.04903364071</v>
      </c>
      <c r="BI44" s="51">
        <f t="shared" ca="1" si="59"/>
        <v>100027.87611485709</v>
      </c>
      <c r="BJ44" s="51">
        <f t="shared" ca="1" si="59"/>
        <v>0</v>
      </c>
      <c r="BK44" s="51">
        <f t="shared" ca="1" si="59"/>
        <v>0</v>
      </c>
      <c r="BL44" s="51">
        <f t="shared" ca="1" si="59"/>
        <v>0</v>
      </c>
      <c r="BM44" s="51">
        <f t="shared" ca="1" si="59"/>
        <v>0</v>
      </c>
      <c r="BN44" s="51">
        <f t="shared" ca="1" si="59"/>
        <v>0</v>
      </c>
      <c r="BO44" s="51">
        <f t="shared" ca="1" si="59"/>
        <v>0</v>
      </c>
      <c r="BP44" s="51">
        <f t="shared" ca="1" si="59"/>
        <v>0</v>
      </c>
      <c r="BQ44" s="51">
        <f t="shared" ca="1" si="59"/>
        <v>0</v>
      </c>
      <c r="BR44" s="51">
        <f t="shared" ca="1" si="59"/>
        <v>0</v>
      </c>
      <c r="BS44" s="51">
        <f t="shared" ca="1" si="59"/>
        <v>0</v>
      </c>
      <c r="BT44" s="51">
        <f t="shared" ca="1" si="59"/>
        <v>0</v>
      </c>
      <c r="BU44" s="51">
        <f t="shared" ca="1" si="59"/>
        <v>0</v>
      </c>
      <c r="BV44" s="51">
        <f t="shared" ca="1" si="59"/>
        <v>0</v>
      </c>
      <c r="BW44" s="51">
        <f t="shared" ca="1" si="59"/>
        <v>0</v>
      </c>
    </row>
    <row r="45" spans="1:75" x14ac:dyDescent="0.3">
      <c r="B45" s="47" t="s">
        <v>591</v>
      </c>
      <c r="C45"/>
      <c r="D45"/>
      <c r="E45"/>
      <c r="F45"/>
      <c r="G45"/>
      <c r="H45"/>
      <c r="I45"/>
      <c r="J45"/>
      <c r="K45"/>
      <c r="L45"/>
      <c r="M45"/>
      <c r="N45"/>
      <c r="O45"/>
      <c r="P45"/>
      <c r="Q45"/>
      <c r="R45"/>
      <c r="S45"/>
      <c r="T45"/>
      <c r="U45"/>
      <c r="V45" s="98">
        <f>V44/(V8/(V9))</f>
        <v>134.67016344094711</v>
      </c>
      <c r="W45" s="98">
        <f>W44/(W8/(W9+U9+T9+S9))</f>
        <v>110.10880820093674</v>
      </c>
      <c r="X45" s="98">
        <f>X44/(X8/(X9+W9+U9+T9))</f>
        <v>114.64296020396324</v>
      </c>
      <c r="Y45" s="98">
        <f>Y44/(Y8/(Y9+X9+W9+U9))</f>
        <v>115.55201992252353</v>
      </c>
      <c r="Z45" s="98">
        <f>Z44/(Z8/(Z9+Y9+X9+W9))</f>
        <v>238.47334704088829</v>
      </c>
      <c r="AA45" s="98">
        <f>AA44/(AA8/(AA9))</f>
        <v>238.47334704088829</v>
      </c>
      <c r="AB45" s="98">
        <f>AB44/(AB8/(AB9+Z9+Y9+X9))</f>
        <v>192.60148657620465</v>
      </c>
      <c r="AC45" s="98">
        <f>AC44/(AC8/(AC9+AB9+Z9+Y9))</f>
        <v>296.94323151140941</v>
      </c>
      <c r="AD45" s="98">
        <f>AD44/(AD8/(AD9+AC9+AB9+Z9))</f>
        <v>199.39558148515044</v>
      </c>
      <c r="AE45" s="98">
        <f>AVERAGE(AA45,V45)</f>
        <v>186.5717552409177</v>
      </c>
      <c r="AF45" s="98">
        <f t="shared" si="47"/>
        <v>186.5717552409177</v>
      </c>
      <c r="AG45" s="98">
        <f t="shared" ref="AG45:BL45" si="60">AF45</f>
        <v>186.5717552409177</v>
      </c>
      <c r="AH45" s="98">
        <f t="shared" si="60"/>
        <v>186.5717552409177</v>
      </c>
      <c r="AI45" s="98">
        <f t="shared" si="60"/>
        <v>186.5717552409177</v>
      </c>
      <c r="AJ45" s="98">
        <f t="shared" si="60"/>
        <v>186.5717552409177</v>
      </c>
      <c r="AK45" s="98">
        <f t="shared" si="60"/>
        <v>186.5717552409177</v>
      </c>
      <c r="AL45" s="98">
        <f t="shared" si="60"/>
        <v>186.5717552409177</v>
      </c>
      <c r="AM45" s="98">
        <f t="shared" si="60"/>
        <v>186.5717552409177</v>
      </c>
      <c r="AN45" s="98">
        <f t="shared" si="60"/>
        <v>186.5717552409177</v>
      </c>
      <c r="AO45" s="98">
        <f t="shared" si="60"/>
        <v>186.5717552409177</v>
      </c>
      <c r="AP45" s="98">
        <f t="shared" si="60"/>
        <v>186.5717552409177</v>
      </c>
      <c r="AQ45" s="98">
        <f t="shared" si="60"/>
        <v>186.5717552409177</v>
      </c>
      <c r="AR45" s="98">
        <f t="shared" si="60"/>
        <v>186.5717552409177</v>
      </c>
      <c r="AS45" s="98">
        <f t="shared" si="60"/>
        <v>186.5717552409177</v>
      </c>
      <c r="AT45" s="98">
        <f t="shared" si="60"/>
        <v>186.5717552409177</v>
      </c>
      <c r="AU45" s="98">
        <f t="shared" si="60"/>
        <v>186.5717552409177</v>
      </c>
      <c r="AV45" s="98">
        <f t="shared" si="60"/>
        <v>186.5717552409177</v>
      </c>
      <c r="AW45" s="98">
        <f t="shared" si="60"/>
        <v>186.5717552409177</v>
      </c>
      <c r="AX45" s="98">
        <f t="shared" si="60"/>
        <v>186.5717552409177</v>
      </c>
      <c r="AY45" s="98">
        <f t="shared" si="60"/>
        <v>186.5717552409177</v>
      </c>
      <c r="AZ45" s="98">
        <f t="shared" si="60"/>
        <v>186.5717552409177</v>
      </c>
      <c r="BA45" s="98">
        <f t="shared" si="60"/>
        <v>186.5717552409177</v>
      </c>
      <c r="BB45" s="98">
        <f t="shared" si="60"/>
        <v>186.5717552409177</v>
      </c>
      <c r="BC45" s="98">
        <f t="shared" si="60"/>
        <v>186.5717552409177</v>
      </c>
      <c r="BD45" s="98">
        <f t="shared" si="60"/>
        <v>186.5717552409177</v>
      </c>
      <c r="BE45" s="98">
        <f t="shared" si="60"/>
        <v>186.5717552409177</v>
      </c>
      <c r="BF45" s="98">
        <f t="shared" si="60"/>
        <v>186.5717552409177</v>
      </c>
      <c r="BG45" s="98">
        <f t="shared" si="60"/>
        <v>186.5717552409177</v>
      </c>
      <c r="BH45" s="98">
        <f t="shared" si="60"/>
        <v>186.5717552409177</v>
      </c>
      <c r="BI45" s="98">
        <f t="shared" si="60"/>
        <v>186.5717552409177</v>
      </c>
      <c r="BJ45" s="98">
        <f t="shared" si="60"/>
        <v>186.5717552409177</v>
      </c>
      <c r="BK45" s="98">
        <f t="shared" si="60"/>
        <v>186.5717552409177</v>
      </c>
      <c r="BL45" s="98">
        <f t="shared" si="60"/>
        <v>186.5717552409177</v>
      </c>
      <c r="BM45" s="98">
        <f t="shared" ref="BM45:BW45" si="61">BL45</f>
        <v>186.5717552409177</v>
      </c>
      <c r="BN45" s="98">
        <f t="shared" si="61"/>
        <v>186.5717552409177</v>
      </c>
      <c r="BO45" s="98">
        <f t="shared" si="61"/>
        <v>186.5717552409177</v>
      </c>
      <c r="BP45" s="98">
        <f t="shared" si="61"/>
        <v>186.5717552409177</v>
      </c>
      <c r="BQ45" s="98">
        <f t="shared" si="61"/>
        <v>186.5717552409177</v>
      </c>
      <c r="BR45" s="98">
        <f t="shared" si="61"/>
        <v>186.5717552409177</v>
      </c>
      <c r="BS45" s="98">
        <f t="shared" si="61"/>
        <v>186.5717552409177</v>
      </c>
      <c r="BT45" s="98">
        <f t="shared" si="61"/>
        <v>186.5717552409177</v>
      </c>
      <c r="BU45" s="98">
        <f t="shared" si="61"/>
        <v>186.5717552409177</v>
      </c>
      <c r="BV45" s="98">
        <f t="shared" si="61"/>
        <v>186.5717552409177</v>
      </c>
      <c r="BW45" s="98">
        <f t="shared" si="61"/>
        <v>186.5717552409177</v>
      </c>
    </row>
    <row r="46" spans="1:75" x14ac:dyDescent="0.3">
      <c r="A46" s="1" t="s">
        <v>147</v>
      </c>
      <c r="B46" s="42" t="s">
        <v>148</v>
      </c>
      <c r="C46" s="49">
        <v>24418</v>
      </c>
      <c r="D46" s="49">
        <v>32505</v>
      </c>
      <c r="E46" s="49">
        <v>50460</v>
      </c>
      <c r="F46" s="49">
        <v>37010</v>
      </c>
      <c r="G46" s="51">
        <f t="shared" si="52"/>
        <v>37010</v>
      </c>
      <c r="H46" s="49">
        <v>43161</v>
      </c>
      <c r="I46" s="49">
        <v>85097</v>
      </c>
      <c r="J46" s="49">
        <v>56861</v>
      </c>
      <c r="K46" s="49">
        <v>83441</v>
      </c>
      <c r="L46" s="51">
        <f t="shared" si="53"/>
        <v>83441</v>
      </c>
      <c r="M46" s="49">
        <v>56691</v>
      </c>
      <c r="N46" s="49">
        <v>48114</v>
      </c>
      <c r="O46" s="49">
        <v>73112</v>
      </c>
      <c r="P46" s="49">
        <v>87741</v>
      </c>
      <c r="Q46" s="51">
        <f t="shared" si="54"/>
        <v>87741</v>
      </c>
      <c r="R46" s="49">
        <v>120602</v>
      </c>
      <c r="S46" s="49">
        <v>96411</v>
      </c>
      <c r="T46" s="49">
        <v>126361</v>
      </c>
      <c r="U46" s="49">
        <v>183678</v>
      </c>
      <c r="V46" s="51">
        <f t="shared" si="55"/>
        <v>183678</v>
      </c>
      <c r="W46" s="49">
        <v>182392</v>
      </c>
      <c r="X46" s="49">
        <v>298646</v>
      </c>
      <c r="Y46" s="49">
        <v>337433</v>
      </c>
      <c r="Z46" s="49">
        <v>158712</v>
      </c>
      <c r="AA46" s="51">
        <f t="shared" si="56"/>
        <v>158712</v>
      </c>
      <c r="AB46" s="49">
        <v>320602</v>
      </c>
      <c r="AC46" s="49">
        <v>433332</v>
      </c>
      <c r="AD46" s="49">
        <v>504261</v>
      </c>
      <c r="AE46" s="49">
        <v>593007</v>
      </c>
      <c r="AF46" s="51">
        <f t="shared" si="47"/>
        <v>593007</v>
      </c>
      <c r="AG46" s="51">
        <f t="shared" ref="AG46:BL46" si="62">AF46</f>
        <v>593007</v>
      </c>
      <c r="AH46" s="51">
        <f t="shared" si="62"/>
        <v>593007</v>
      </c>
      <c r="AI46" s="51">
        <f t="shared" si="62"/>
        <v>593007</v>
      </c>
      <c r="AJ46" s="51">
        <f t="shared" si="62"/>
        <v>593007</v>
      </c>
      <c r="AK46" s="51">
        <f t="shared" si="62"/>
        <v>593007</v>
      </c>
      <c r="AL46" s="51">
        <f t="shared" si="62"/>
        <v>593007</v>
      </c>
      <c r="AM46" s="51">
        <f t="shared" si="62"/>
        <v>593007</v>
      </c>
      <c r="AN46" s="51">
        <f t="shared" si="62"/>
        <v>593007</v>
      </c>
      <c r="AO46" s="51">
        <f t="shared" si="62"/>
        <v>593007</v>
      </c>
      <c r="AP46" s="51">
        <f t="shared" si="62"/>
        <v>593007</v>
      </c>
      <c r="AQ46" s="51">
        <f t="shared" si="62"/>
        <v>593007</v>
      </c>
      <c r="AR46" s="51">
        <f t="shared" si="62"/>
        <v>593007</v>
      </c>
      <c r="AS46" s="51">
        <f t="shared" si="62"/>
        <v>593007</v>
      </c>
      <c r="AT46" s="51">
        <f t="shared" si="62"/>
        <v>593007</v>
      </c>
      <c r="AU46" s="51">
        <f t="shared" si="62"/>
        <v>593007</v>
      </c>
      <c r="AV46" s="51">
        <f t="shared" si="62"/>
        <v>593007</v>
      </c>
      <c r="AW46" s="51">
        <f t="shared" si="62"/>
        <v>593007</v>
      </c>
      <c r="AX46" s="51">
        <f t="shared" si="62"/>
        <v>593007</v>
      </c>
      <c r="AY46" s="51">
        <f t="shared" si="62"/>
        <v>593007</v>
      </c>
      <c r="AZ46" s="51">
        <f t="shared" si="62"/>
        <v>593007</v>
      </c>
      <c r="BA46" s="51">
        <f t="shared" si="62"/>
        <v>593007</v>
      </c>
      <c r="BB46" s="51">
        <f t="shared" si="62"/>
        <v>593007</v>
      </c>
      <c r="BC46" s="51">
        <f t="shared" si="62"/>
        <v>593007</v>
      </c>
      <c r="BD46" s="51">
        <f t="shared" si="62"/>
        <v>593007</v>
      </c>
      <c r="BE46" s="51">
        <f t="shared" si="62"/>
        <v>593007</v>
      </c>
      <c r="BF46" s="51">
        <f t="shared" si="62"/>
        <v>593007</v>
      </c>
      <c r="BG46" s="51">
        <f t="shared" si="62"/>
        <v>593007</v>
      </c>
      <c r="BH46" s="51">
        <f t="shared" si="62"/>
        <v>593007</v>
      </c>
      <c r="BI46" s="51">
        <f t="shared" si="62"/>
        <v>593007</v>
      </c>
      <c r="BJ46" s="51">
        <f t="shared" si="62"/>
        <v>593007</v>
      </c>
      <c r="BK46" s="51">
        <f t="shared" si="62"/>
        <v>593007</v>
      </c>
      <c r="BL46" s="51">
        <f t="shared" si="62"/>
        <v>593007</v>
      </c>
      <c r="BM46" s="51">
        <f t="shared" ref="BM46:BW46" si="63">BL46</f>
        <v>593007</v>
      </c>
      <c r="BN46" s="51">
        <f t="shared" si="63"/>
        <v>593007</v>
      </c>
      <c r="BO46" s="51">
        <f t="shared" si="63"/>
        <v>593007</v>
      </c>
      <c r="BP46" s="51">
        <f t="shared" si="63"/>
        <v>593007</v>
      </c>
      <c r="BQ46" s="51">
        <f t="shared" si="63"/>
        <v>593007</v>
      </c>
      <c r="BR46" s="51">
        <f t="shared" si="63"/>
        <v>593007</v>
      </c>
      <c r="BS46" s="51">
        <f t="shared" si="63"/>
        <v>593007</v>
      </c>
      <c r="BT46" s="51">
        <f t="shared" si="63"/>
        <v>593007</v>
      </c>
      <c r="BU46" s="51">
        <f t="shared" si="63"/>
        <v>593007</v>
      </c>
      <c r="BV46" s="51">
        <f t="shared" si="63"/>
        <v>593007</v>
      </c>
      <c r="BW46" s="51">
        <f t="shared" si="63"/>
        <v>593007</v>
      </c>
    </row>
    <row r="47" spans="1:75" x14ac:dyDescent="0.3">
      <c r="A47" s="1" t="s">
        <v>149</v>
      </c>
      <c r="B47" s="42" t="s">
        <v>150</v>
      </c>
      <c r="C47" s="49">
        <v>76242</v>
      </c>
      <c r="D47" s="49">
        <v>199484</v>
      </c>
      <c r="E47" s="49">
        <v>771</v>
      </c>
      <c r="F47" s="49">
        <v>222743</v>
      </c>
      <c r="G47" s="51">
        <f t="shared" si="52"/>
        <v>222743</v>
      </c>
      <c r="H47" s="49">
        <v>507290</v>
      </c>
      <c r="I47" s="49">
        <v>607362</v>
      </c>
      <c r="J47" s="49">
        <v>888864</v>
      </c>
      <c r="K47" s="49">
        <v>1447355</v>
      </c>
      <c r="L47" s="51">
        <f t="shared" si="53"/>
        <v>1447355</v>
      </c>
      <c r="M47" s="49">
        <v>2114234</v>
      </c>
      <c r="N47" s="49">
        <v>1668978</v>
      </c>
      <c r="O47" s="49">
        <v>1637624</v>
      </c>
      <c r="P47" s="49">
        <v>1772611</v>
      </c>
      <c r="Q47" s="51">
        <f t="shared" si="54"/>
        <v>1772611</v>
      </c>
      <c r="R47" s="49">
        <v>2072370</v>
      </c>
      <c r="S47" s="49">
        <v>583414</v>
      </c>
      <c r="T47" s="49">
        <v>342176</v>
      </c>
      <c r="U47" s="49">
        <v>553</v>
      </c>
      <c r="V47" s="51">
        <f t="shared" si="55"/>
        <v>553</v>
      </c>
      <c r="W47" s="49">
        <v>169716</v>
      </c>
      <c r="X47" s="49">
        <v>25111</v>
      </c>
      <c r="Y47" s="49">
        <v>458307</v>
      </c>
      <c r="Z47" s="49">
        <v>433772</v>
      </c>
      <c r="AA47" s="51">
        <f t="shared" si="56"/>
        <v>433772</v>
      </c>
      <c r="AB47" s="49">
        <v>1662027</v>
      </c>
      <c r="AC47" s="49">
        <v>2245167</v>
      </c>
      <c r="AD47" s="49">
        <f>1978629+8040</f>
        <v>1986669</v>
      </c>
      <c r="AE47" s="49">
        <v>1252062</v>
      </c>
      <c r="AF47" s="51">
        <f t="shared" si="47"/>
        <v>1252062</v>
      </c>
      <c r="AG47" s="51">
        <f>'Resultado Financeiro e Dívida'!AG$35*1000*$AD47/($AD$47+$AD$52)</f>
        <v>1469625.7508548375</v>
      </c>
      <c r="AH47" s="51">
        <f>'Resultado Financeiro e Dívida'!AH$35*1000*$AD47/($AD$47+$AD$52)</f>
        <v>1145220.5132147218</v>
      </c>
      <c r="AI47" s="51">
        <f>'Resultado Financeiro e Dívida'!AI$35*1000*$AD47/($AD$47+$AD$52)</f>
        <v>402037.60516645713</v>
      </c>
      <c r="AJ47" s="51">
        <f>'Resultado Financeiro e Dívida'!AJ$35*1000*$AD47/($AD$47+$AD$52)</f>
        <v>223956.82453317771</v>
      </c>
      <c r="AK47" s="51">
        <f>'Resultado Financeiro e Dívida'!AK$35*1000*$AD47/($AD$47+$AD$52)</f>
        <v>0</v>
      </c>
      <c r="AL47" s="51">
        <f>'Resultado Financeiro e Dívida'!AL$35*1000*$AD47/($AD$47+$AD$52)</f>
        <v>0</v>
      </c>
      <c r="AM47" s="51">
        <f>'Resultado Financeiro e Dívida'!AM$35*1000*$AD47/($AD$47+$AD$52)</f>
        <v>0</v>
      </c>
      <c r="AN47" s="51">
        <f>'Resultado Financeiro e Dívida'!AN$35*1000*$AD47/($AD$47+$AD$52)</f>
        <v>0</v>
      </c>
      <c r="AO47" s="51">
        <f>'Resultado Financeiro e Dívida'!AO$35*1000*$AD47/($AD$47+$AD$52)</f>
        <v>0</v>
      </c>
      <c r="AP47" s="51">
        <f>'Resultado Financeiro e Dívida'!AP$35*1000*$AD47/($AD$47+$AD$52)</f>
        <v>0</v>
      </c>
      <c r="AQ47" s="51">
        <f>'Resultado Financeiro e Dívida'!AQ$35*1000*$AD47/($AD$47+$AD$52)</f>
        <v>0</v>
      </c>
      <c r="AR47" s="51">
        <f>'Resultado Financeiro e Dívida'!AR$35*1000*$AD47/($AD$47+$AD$52)</f>
        <v>0</v>
      </c>
      <c r="AS47" s="51">
        <f>'Resultado Financeiro e Dívida'!AS$35*1000*$AD47/($AD$47+$AD$52)</f>
        <v>0</v>
      </c>
      <c r="AT47" s="51">
        <f>'Resultado Financeiro e Dívida'!AT$35*1000*$AD47/($AD$47+$AD$52)</f>
        <v>0</v>
      </c>
      <c r="AU47" s="51">
        <f>'Resultado Financeiro e Dívida'!AU$35*1000*$AD47/($AD$47+$AD$52)</f>
        <v>0</v>
      </c>
      <c r="AV47" s="51">
        <f>'Resultado Financeiro e Dívida'!AV$35*1000*$AD47/($AD$47+$AD$52)</f>
        <v>0</v>
      </c>
      <c r="AW47" s="51">
        <f>'Resultado Financeiro e Dívida'!AW$35*1000*$AD47/($AD$47+$AD$52)</f>
        <v>0</v>
      </c>
      <c r="AX47" s="51">
        <f>'Resultado Financeiro e Dívida'!AX$35*1000*$AD47/($AD$47+$AD$52)</f>
        <v>0</v>
      </c>
      <c r="AY47" s="51">
        <f>'Resultado Financeiro e Dívida'!AY$35*1000*$AD47/($AD$47+$AD$52)</f>
        <v>0</v>
      </c>
      <c r="AZ47" s="51">
        <f>'Resultado Financeiro e Dívida'!AZ$35*1000*$AD47/($AD$47+$AD$52)</f>
        <v>0</v>
      </c>
      <c r="BA47" s="51">
        <f>'Resultado Financeiro e Dívida'!BA$35*1000*$AD47/($AD$47+$AD$52)</f>
        <v>0</v>
      </c>
      <c r="BB47" s="51">
        <f>'Resultado Financeiro e Dívida'!BB$35*1000*$AD47/($AD$47+$AD$52)</f>
        <v>0</v>
      </c>
      <c r="BC47" s="51">
        <f>'Resultado Financeiro e Dívida'!BC$35*1000*$AD47/($AD$47+$AD$52)</f>
        <v>0</v>
      </c>
      <c r="BD47" s="51">
        <f>'Resultado Financeiro e Dívida'!BD$35*1000*$AD47/($AD$47+$AD$52)</f>
        <v>0</v>
      </c>
      <c r="BE47" s="51">
        <f>'Resultado Financeiro e Dívida'!BE$35*1000*$AD47/($AD$47+$AD$52)</f>
        <v>0</v>
      </c>
      <c r="BF47" s="51">
        <f>'Resultado Financeiro e Dívida'!BF$35*1000*$AD47/($AD$47+$AD$52)</f>
        <v>0</v>
      </c>
      <c r="BG47" s="51">
        <f>'Resultado Financeiro e Dívida'!BG$35*1000*$AD47/($AD$47+$AD$52)</f>
        <v>0</v>
      </c>
      <c r="BH47" s="51">
        <f>'Resultado Financeiro e Dívida'!BH$35*1000*$AD47/($AD$47+$AD$52)</f>
        <v>0</v>
      </c>
      <c r="BI47" s="51">
        <f>'Resultado Financeiro e Dívida'!BI$35*1000*$AD47/($AD$47+$AD$52)</f>
        <v>0</v>
      </c>
      <c r="BJ47" s="51">
        <f>'Resultado Financeiro e Dívida'!BJ$35*1000*$AD47/($AD$47+$AD$52)</f>
        <v>0</v>
      </c>
      <c r="BK47" s="51">
        <f>'Resultado Financeiro e Dívida'!BK$35*1000*$AD47/($AD$47+$AD$52)</f>
        <v>0</v>
      </c>
      <c r="BL47" s="51">
        <f>'Resultado Financeiro e Dívida'!BL$35*1000*$AD47/($AD$47+$AD$52)</f>
        <v>0</v>
      </c>
      <c r="BM47" s="51">
        <f>'Resultado Financeiro e Dívida'!BM$35*1000*$AD47/($AD$47+$AD$52)</f>
        <v>0</v>
      </c>
      <c r="BN47" s="51">
        <f>'Resultado Financeiro e Dívida'!BN$35*1000*$AD47/($AD$47+$AD$52)</f>
        <v>0</v>
      </c>
      <c r="BO47" s="51">
        <f>'Resultado Financeiro e Dívida'!BO$35*1000*$AD47/($AD$47+$AD$52)</f>
        <v>0</v>
      </c>
      <c r="BP47" s="51">
        <f>'Resultado Financeiro e Dívida'!BP$35*1000*$AD47/($AD$47+$AD$52)</f>
        <v>0</v>
      </c>
      <c r="BQ47" s="51">
        <f>'Resultado Financeiro e Dívida'!BQ$35*1000*$AD47/($AD$47+$AD$52)</f>
        <v>0</v>
      </c>
      <c r="BR47" s="51">
        <f>'Resultado Financeiro e Dívida'!BR$35*1000*$AD47/($AD$47+$AD$52)</f>
        <v>0</v>
      </c>
      <c r="BS47" s="51">
        <f>'Resultado Financeiro e Dívida'!BS$35*1000*$AD47/($AD$47+$AD$52)</f>
        <v>0</v>
      </c>
      <c r="BT47" s="51">
        <f>'Resultado Financeiro e Dívida'!BT$35*1000*$AD47/($AD$47+$AD$52)</f>
        <v>0</v>
      </c>
      <c r="BU47" s="51">
        <f>'Resultado Financeiro e Dívida'!BU$35*1000*$AD47/($AD$47+$AD$52)</f>
        <v>0</v>
      </c>
      <c r="BV47" s="51">
        <f>'Resultado Financeiro e Dívida'!BV$35*1000*$AD47/($AD$47+$AD$52)</f>
        <v>0</v>
      </c>
      <c r="BW47" s="51">
        <f>'Resultado Financeiro e Dívida'!BW$35*1000*$AD47/($AD$47+$AD$52)</f>
        <v>0</v>
      </c>
    </row>
    <row r="48" spans="1:75" x14ac:dyDescent="0.3">
      <c r="B48" s="42" t="s">
        <v>535</v>
      </c>
      <c r="C48"/>
      <c r="D48"/>
      <c r="E48"/>
      <c r="F48"/>
      <c r="G48"/>
      <c r="H48"/>
      <c r="I48"/>
      <c r="J48"/>
      <c r="K48"/>
      <c r="L48"/>
      <c r="M48"/>
      <c r="N48"/>
      <c r="O48"/>
      <c r="P48"/>
      <c r="Q48"/>
      <c r="R48"/>
      <c r="S48"/>
      <c r="T48"/>
      <c r="U48" s="49">
        <v>105905</v>
      </c>
      <c r="V48" s="51">
        <f t="shared" si="55"/>
        <v>105905</v>
      </c>
      <c r="W48" s="49">
        <v>0</v>
      </c>
      <c r="X48" s="49">
        <v>150743</v>
      </c>
      <c r="Y48" s="49">
        <v>163912</v>
      </c>
      <c r="Z48" s="49">
        <v>64547</v>
      </c>
      <c r="AA48" s="51">
        <f t="shared" si="56"/>
        <v>64547</v>
      </c>
      <c r="AB48" s="49">
        <v>137847</v>
      </c>
      <c r="AC48" s="49">
        <v>177407</v>
      </c>
      <c r="AD48" s="49">
        <v>207118</v>
      </c>
      <c r="AE48" s="49">
        <v>224502</v>
      </c>
      <c r="AF48" s="51">
        <f t="shared" si="47"/>
        <v>224502</v>
      </c>
      <c r="AG48" s="51">
        <f t="shared" ref="AG48:BL48" si="64">AF48</f>
        <v>224502</v>
      </c>
      <c r="AH48" s="51">
        <f t="shared" si="64"/>
        <v>224502</v>
      </c>
      <c r="AI48" s="51">
        <f t="shared" si="64"/>
        <v>224502</v>
      </c>
      <c r="AJ48" s="51">
        <f t="shared" si="64"/>
        <v>224502</v>
      </c>
      <c r="AK48" s="51">
        <f t="shared" si="64"/>
        <v>224502</v>
      </c>
      <c r="AL48" s="51">
        <f t="shared" si="64"/>
        <v>224502</v>
      </c>
      <c r="AM48" s="51">
        <f t="shared" si="64"/>
        <v>224502</v>
      </c>
      <c r="AN48" s="51">
        <f t="shared" si="64"/>
        <v>224502</v>
      </c>
      <c r="AO48" s="51">
        <f t="shared" si="64"/>
        <v>224502</v>
      </c>
      <c r="AP48" s="51">
        <f t="shared" si="64"/>
        <v>224502</v>
      </c>
      <c r="AQ48" s="51">
        <f t="shared" si="64"/>
        <v>224502</v>
      </c>
      <c r="AR48" s="51">
        <f t="shared" si="64"/>
        <v>224502</v>
      </c>
      <c r="AS48" s="51">
        <f t="shared" si="64"/>
        <v>224502</v>
      </c>
      <c r="AT48" s="51">
        <f t="shared" si="64"/>
        <v>224502</v>
      </c>
      <c r="AU48" s="51">
        <f t="shared" si="64"/>
        <v>224502</v>
      </c>
      <c r="AV48" s="51">
        <f t="shared" si="64"/>
        <v>224502</v>
      </c>
      <c r="AW48" s="51">
        <f t="shared" si="64"/>
        <v>224502</v>
      </c>
      <c r="AX48" s="51">
        <f t="shared" si="64"/>
        <v>224502</v>
      </c>
      <c r="AY48" s="51">
        <f t="shared" si="64"/>
        <v>224502</v>
      </c>
      <c r="AZ48" s="51">
        <f t="shared" si="64"/>
        <v>224502</v>
      </c>
      <c r="BA48" s="51">
        <f t="shared" si="64"/>
        <v>224502</v>
      </c>
      <c r="BB48" s="51">
        <f t="shared" si="64"/>
        <v>224502</v>
      </c>
      <c r="BC48" s="51">
        <f t="shared" si="64"/>
        <v>224502</v>
      </c>
      <c r="BD48" s="51">
        <f t="shared" si="64"/>
        <v>224502</v>
      </c>
      <c r="BE48" s="51">
        <f t="shared" si="64"/>
        <v>224502</v>
      </c>
      <c r="BF48" s="51">
        <f t="shared" si="64"/>
        <v>224502</v>
      </c>
      <c r="BG48" s="51">
        <f t="shared" si="64"/>
        <v>224502</v>
      </c>
      <c r="BH48" s="51">
        <f t="shared" si="64"/>
        <v>224502</v>
      </c>
      <c r="BI48" s="51">
        <f t="shared" si="64"/>
        <v>224502</v>
      </c>
      <c r="BJ48" s="51">
        <f t="shared" si="64"/>
        <v>224502</v>
      </c>
      <c r="BK48" s="51">
        <f t="shared" si="64"/>
        <v>224502</v>
      </c>
      <c r="BL48" s="51">
        <f t="shared" si="64"/>
        <v>224502</v>
      </c>
      <c r="BM48" s="51">
        <f t="shared" ref="BM48:BW48" si="65">BL48</f>
        <v>224502</v>
      </c>
      <c r="BN48" s="51">
        <f t="shared" si="65"/>
        <v>224502</v>
      </c>
      <c r="BO48" s="51">
        <f t="shared" si="65"/>
        <v>224502</v>
      </c>
      <c r="BP48" s="51">
        <f t="shared" si="65"/>
        <v>224502</v>
      </c>
      <c r="BQ48" s="51">
        <f t="shared" si="65"/>
        <v>224502</v>
      </c>
      <c r="BR48" s="51">
        <f t="shared" si="65"/>
        <v>224502</v>
      </c>
      <c r="BS48" s="51">
        <f t="shared" si="65"/>
        <v>224502</v>
      </c>
      <c r="BT48" s="51">
        <f t="shared" si="65"/>
        <v>224502</v>
      </c>
      <c r="BU48" s="51">
        <f t="shared" si="65"/>
        <v>224502</v>
      </c>
      <c r="BV48" s="51">
        <f t="shared" si="65"/>
        <v>224502</v>
      </c>
      <c r="BW48" s="51">
        <f t="shared" si="65"/>
        <v>224502</v>
      </c>
    </row>
    <row r="49" spans="1:75" x14ac:dyDescent="0.3">
      <c r="A49" s="1" t="s">
        <v>151</v>
      </c>
      <c r="B49" s="42" t="s">
        <v>152</v>
      </c>
      <c r="C49" s="49">
        <v>6894</v>
      </c>
      <c r="D49" s="49">
        <v>17318</v>
      </c>
      <c r="E49" s="49">
        <v>18226</v>
      </c>
      <c r="F49" s="49">
        <v>23052</v>
      </c>
      <c r="G49" s="51">
        <f t="shared" si="52"/>
        <v>23052</v>
      </c>
      <c r="H49" s="49">
        <v>222633</v>
      </c>
      <c r="I49" s="49">
        <v>28330</v>
      </c>
      <c r="J49" s="49">
        <v>26008</v>
      </c>
      <c r="K49" s="49">
        <v>12396</v>
      </c>
      <c r="L49" s="51">
        <f t="shared" si="53"/>
        <v>12396</v>
      </c>
      <c r="M49" s="49">
        <v>19</v>
      </c>
      <c r="N49" s="49">
        <v>19</v>
      </c>
      <c r="O49" s="49">
        <v>20</v>
      </c>
      <c r="P49" s="49">
        <v>0</v>
      </c>
      <c r="Q49" s="51">
        <f t="shared" si="54"/>
        <v>0</v>
      </c>
      <c r="R49" s="49">
        <v>0</v>
      </c>
      <c r="S49" s="49">
        <v>0</v>
      </c>
      <c r="T49" s="49">
        <v>448750</v>
      </c>
      <c r="U49" s="49">
        <v>376684</v>
      </c>
      <c r="V49" s="51">
        <f t="shared" si="55"/>
        <v>376684</v>
      </c>
      <c r="W49" s="49">
        <v>178273</v>
      </c>
      <c r="X49" s="49">
        <v>53827</v>
      </c>
      <c r="Y49" s="49">
        <v>0</v>
      </c>
      <c r="Z49" s="49">
        <v>43433</v>
      </c>
      <c r="AA49" s="51">
        <f t="shared" si="56"/>
        <v>43433</v>
      </c>
      <c r="AB49" s="49">
        <v>304223</v>
      </c>
      <c r="AC49" s="49">
        <v>289861</v>
      </c>
      <c r="AD49" s="49">
        <f>41780+275423+24800</f>
        <v>342003</v>
      </c>
      <c r="AE49" s="49">
        <v>292569</v>
      </c>
      <c r="AF49" s="51">
        <f t="shared" si="47"/>
        <v>292569</v>
      </c>
      <c r="AG49" s="51">
        <f>AF49-288465</f>
        <v>4104</v>
      </c>
      <c r="AH49" s="51">
        <f t="shared" ref="AH49:BL49" si="66">AG49</f>
        <v>4104</v>
      </c>
      <c r="AI49" s="51">
        <f t="shared" si="66"/>
        <v>4104</v>
      </c>
      <c r="AJ49" s="51">
        <f t="shared" si="66"/>
        <v>4104</v>
      </c>
      <c r="AK49" s="51">
        <f t="shared" si="66"/>
        <v>4104</v>
      </c>
      <c r="AL49" s="51">
        <f t="shared" si="66"/>
        <v>4104</v>
      </c>
      <c r="AM49" s="51">
        <f t="shared" si="66"/>
        <v>4104</v>
      </c>
      <c r="AN49" s="51">
        <f t="shared" si="66"/>
        <v>4104</v>
      </c>
      <c r="AO49" s="51">
        <f t="shared" si="66"/>
        <v>4104</v>
      </c>
      <c r="AP49" s="51">
        <f t="shared" si="66"/>
        <v>4104</v>
      </c>
      <c r="AQ49" s="51">
        <f t="shared" si="66"/>
        <v>4104</v>
      </c>
      <c r="AR49" s="51">
        <f t="shared" si="66"/>
        <v>4104</v>
      </c>
      <c r="AS49" s="51">
        <f t="shared" si="66"/>
        <v>4104</v>
      </c>
      <c r="AT49" s="51">
        <f t="shared" si="66"/>
        <v>4104</v>
      </c>
      <c r="AU49" s="51">
        <f t="shared" si="66"/>
        <v>4104</v>
      </c>
      <c r="AV49" s="51">
        <f t="shared" si="66"/>
        <v>4104</v>
      </c>
      <c r="AW49" s="51">
        <f t="shared" si="66"/>
        <v>4104</v>
      </c>
      <c r="AX49" s="51">
        <f t="shared" si="66"/>
        <v>4104</v>
      </c>
      <c r="AY49" s="51">
        <f t="shared" si="66"/>
        <v>4104</v>
      </c>
      <c r="AZ49" s="51">
        <f t="shared" si="66"/>
        <v>4104</v>
      </c>
      <c r="BA49" s="51">
        <f t="shared" si="66"/>
        <v>4104</v>
      </c>
      <c r="BB49" s="51">
        <f t="shared" si="66"/>
        <v>4104</v>
      </c>
      <c r="BC49" s="51">
        <f t="shared" si="66"/>
        <v>4104</v>
      </c>
      <c r="BD49" s="51">
        <f t="shared" si="66"/>
        <v>4104</v>
      </c>
      <c r="BE49" s="51">
        <f t="shared" si="66"/>
        <v>4104</v>
      </c>
      <c r="BF49" s="51">
        <f t="shared" si="66"/>
        <v>4104</v>
      </c>
      <c r="BG49" s="51">
        <f t="shared" si="66"/>
        <v>4104</v>
      </c>
      <c r="BH49" s="51">
        <f t="shared" si="66"/>
        <v>4104</v>
      </c>
      <c r="BI49" s="51">
        <f t="shared" si="66"/>
        <v>4104</v>
      </c>
      <c r="BJ49" s="51">
        <f t="shared" si="66"/>
        <v>4104</v>
      </c>
      <c r="BK49" s="51">
        <f t="shared" si="66"/>
        <v>4104</v>
      </c>
      <c r="BL49" s="51">
        <f t="shared" si="66"/>
        <v>4104</v>
      </c>
      <c r="BM49" s="51">
        <f t="shared" ref="BM49:BW49" si="67">BL49</f>
        <v>4104</v>
      </c>
      <c r="BN49" s="51">
        <f t="shared" si="67"/>
        <v>4104</v>
      </c>
      <c r="BO49" s="51">
        <f t="shared" si="67"/>
        <v>4104</v>
      </c>
      <c r="BP49" s="51">
        <f t="shared" si="67"/>
        <v>4104</v>
      </c>
      <c r="BQ49" s="51">
        <f t="shared" si="67"/>
        <v>4104</v>
      </c>
      <c r="BR49" s="51">
        <f t="shared" si="67"/>
        <v>4104</v>
      </c>
      <c r="BS49" s="51">
        <f t="shared" si="67"/>
        <v>4104</v>
      </c>
      <c r="BT49" s="51">
        <f t="shared" si="67"/>
        <v>4104</v>
      </c>
      <c r="BU49" s="51">
        <f t="shared" si="67"/>
        <v>4104</v>
      </c>
      <c r="BV49" s="51">
        <f t="shared" si="67"/>
        <v>4104</v>
      </c>
      <c r="BW49" s="51">
        <f t="shared" si="67"/>
        <v>4104</v>
      </c>
    </row>
    <row r="50" spans="1:75" x14ac:dyDescent="0.3">
      <c r="A50" s="1" t="s">
        <v>154</v>
      </c>
      <c r="B50" s="42" t="s">
        <v>155</v>
      </c>
      <c r="C50" s="49">
        <v>0</v>
      </c>
      <c r="D50" s="49">
        <v>0</v>
      </c>
      <c r="E50" s="49">
        <v>0</v>
      </c>
      <c r="F50" s="49">
        <v>0</v>
      </c>
      <c r="G50" s="51">
        <f t="shared" si="52"/>
        <v>0</v>
      </c>
      <c r="H50" s="49">
        <v>0</v>
      </c>
      <c r="I50" s="49">
        <v>0</v>
      </c>
      <c r="J50" s="49">
        <v>0</v>
      </c>
      <c r="K50" s="49">
        <v>0</v>
      </c>
      <c r="L50" s="51">
        <f t="shared" si="53"/>
        <v>0</v>
      </c>
      <c r="M50" s="49">
        <v>0</v>
      </c>
      <c r="N50" s="49">
        <v>0</v>
      </c>
      <c r="O50" s="49">
        <v>0</v>
      </c>
      <c r="P50" s="49">
        <v>-2649</v>
      </c>
      <c r="Q50" s="51">
        <f t="shared" si="54"/>
        <v>-2649</v>
      </c>
      <c r="R50" s="49">
        <v>462</v>
      </c>
      <c r="S50" s="49">
        <v>-2054</v>
      </c>
      <c r="T50" s="49">
        <v>-2845</v>
      </c>
      <c r="U50" s="49">
        <v>-4502</v>
      </c>
      <c r="V50" s="51">
        <f t="shared" si="55"/>
        <v>-4502</v>
      </c>
      <c r="W50" s="49">
        <v>0</v>
      </c>
      <c r="X50" s="49">
        <v>0</v>
      </c>
      <c r="Y50" s="49">
        <v>0</v>
      </c>
      <c r="Z50" s="49">
        <v>-16654</v>
      </c>
      <c r="AA50" s="51">
        <f t="shared" si="56"/>
        <v>-16654</v>
      </c>
      <c r="AB50" s="49">
        <v>-16514</v>
      </c>
      <c r="AC50" s="49">
        <v>-16619</v>
      </c>
      <c r="AD50" s="49">
        <v>-19363</v>
      </c>
      <c r="AE50" s="49">
        <v>0</v>
      </c>
      <c r="AF50" s="51">
        <f t="shared" si="47"/>
        <v>0</v>
      </c>
      <c r="AG50" s="51">
        <f t="shared" ref="AG50:BL50" si="68">AF50</f>
        <v>0</v>
      </c>
      <c r="AH50" s="51">
        <f t="shared" si="68"/>
        <v>0</v>
      </c>
      <c r="AI50" s="51">
        <f t="shared" si="68"/>
        <v>0</v>
      </c>
      <c r="AJ50" s="51">
        <f t="shared" si="68"/>
        <v>0</v>
      </c>
      <c r="AK50" s="51">
        <f t="shared" si="68"/>
        <v>0</v>
      </c>
      <c r="AL50" s="51">
        <f t="shared" si="68"/>
        <v>0</v>
      </c>
      <c r="AM50" s="51">
        <f t="shared" si="68"/>
        <v>0</v>
      </c>
      <c r="AN50" s="51">
        <f t="shared" si="68"/>
        <v>0</v>
      </c>
      <c r="AO50" s="51">
        <f t="shared" si="68"/>
        <v>0</v>
      </c>
      <c r="AP50" s="51">
        <f t="shared" si="68"/>
        <v>0</v>
      </c>
      <c r="AQ50" s="51">
        <f t="shared" si="68"/>
        <v>0</v>
      </c>
      <c r="AR50" s="51">
        <f t="shared" si="68"/>
        <v>0</v>
      </c>
      <c r="AS50" s="51">
        <f t="shared" si="68"/>
        <v>0</v>
      </c>
      <c r="AT50" s="51">
        <f t="shared" si="68"/>
        <v>0</v>
      </c>
      <c r="AU50" s="51">
        <f t="shared" si="68"/>
        <v>0</v>
      </c>
      <c r="AV50" s="51">
        <f t="shared" si="68"/>
        <v>0</v>
      </c>
      <c r="AW50" s="51">
        <f t="shared" si="68"/>
        <v>0</v>
      </c>
      <c r="AX50" s="51">
        <f t="shared" si="68"/>
        <v>0</v>
      </c>
      <c r="AY50" s="51">
        <f t="shared" si="68"/>
        <v>0</v>
      </c>
      <c r="AZ50" s="51">
        <f t="shared" si="68"/>
        <v>0</v>
      </c>
      <c r="BA50" s="51">
        <f t="shared" si="68"/>
        <v>0</v>
      </c>
      <c r="BB50" s="51">
        <f t="shared" si="68"/>
        <v>0</v>
      </c>
      <c r="BC50" s="51">
        <f t="shared" si="68"/>
        <v>0</v>
      </c>
      <c r="BD50" s="51">
        <f t="shared" si="68"/>
        <v>0</v>
      </c>
      <c r="BE50" s="51">
        <f t="shared" si="68"/>
        <v>0</v>
      </c>
      <c r="BF50" s="51">
        <f t="shared" si="68"/>
        <v>0</v>
      </c>
      <c r="BG50" s="51">
        <f t="shared" si="68"/>
        <v>0</v>
      </c>
      <c r="BH50" s="51">
        <f t="shared" si="68"/>
        <v>0</v>
      </c>
      <c r="BI50" s="51">
        <f t="shared" si="68"/>
        <v>0</v>
      </c>
      <c r="BJ50" s="51">
        <f t="shared" si="68"/>
        <v>0</v>
      </c>
      <c r="BK50" s="51">
        <f t="shared" si="68"/>
        <v>0</v>
      </c>
      <c r="BL50" s="51">
        <f t="shared" si="68"/>
        <v>0</v>
      </c>
      <c r="BM50" s="51">
        <f t="shared" ref="BM50:BW50" si="69">BL50</f>
        <v>0</v>
      </c>
      <c r="BN50" s="51">
        <f t="shared" si="69"/>
        <v>0</v>
      </c>
      <c r="BO50" s="51">
        <f t="shared" si="69"/>
        <v>0</v>
      </c>
      <c r="BP50" s="51">
        <f t="shared" si="69"/>
        <v>0</v>
      </c>
      <c r="BQ50" s="51">
        <f t="shared" si="69"/>
        <v>0</v>
      </c>
      <c r="BR50" s="51">
        <f t="shared" si="69"/>
        <v>0</v>
      </c>
      <c r="BS50" s="51">
        <f t="shared" si="69"/>
        <v>0</v>
      </c>
      <c r="BT50" s="51">
        <f t="shared" si="69"/>
        <v>0</v>
      </c>
      <c r="BU50" s="51">
        <f t="shared" si="69"/>
        <v>0</v>
      </c>
      <c r="BV50" s="51">
        <f t="shared" si="69"/>
        <v>0</v>
      </c>
      <c r="BW50" s="51">
        <f t="shared" si="69"/>
        <v>0</v>
      </c>
    </row>
    <row r="51" spans="1:75" s="38" customFormat="1" x14ac:dyDescent="0.3">
      <c r="A51" s="1" t="s">
        <v>156</v>
      </c>
      <c r="B51" s="64" t="s">
        <v>157</v>
      </c>
      <c r="C51" s="48">
        <f t="shared" ref="C51:AC51" si="70">C52+C54+C55+C56+C53</f>
        <v>159794</v>
      </c>
      <c r="D51" s="48">
        <f t="shared" si="70"/>
        <v>169677</v>
      </c>
      <c r="E51" s="48">
        <f t="shared" si="70"/>
        <v>152872</v>
      </c>
      <c r="F51" s="48">
        <f t="shared" si="70"/>
        <v>163020</v>
      </c>
      <c r="G51" s="48">
        <f t="shared" si="70"/>
        <v>163020</v>
      </c>
      <c r="H51" s="48">
        <f t="shared" si="70"/>
        <v>2377807</v>
      </c>
      <c r="I51" s="48">
        <f t="shared" si="70"/>
        <v>2307402</v>
      </c>
      <c r="J51" s="48">
        <f t="shared" si="70"/>
        <v>2143417</v>
      </c>
      <c r="K51" s="48">
        <f t="shared" si="70"/>
        <v>1654867</v>
      </c>
      <c r="L51" s="48">
        <f t="shared" si="70"/>
        <v>1654867</v>
      </c>
      <c r="M51" s="48">
        <f t="shared" si="70"/>
        <v>2099354</v>
      </c>
      <c r="N51" s="48">
        <f t="shared" si="70"/>
        <v>2171787</v>
      </c>
      <c r="O51" s="48">
        <f t="shared" si="70"/>
        <v>2462368</v>
      </c>
      <c r="P51" s="48">
        <f t="shared" si="70"/>
        <v>1492121</v>
      </c>
      <c r="Q51" s="48">
        <f t="shared" si="70"/>
        <v>1492121</v>
      </c>
      <c r="R51" s="48">
        <f t="shared" si="70"/>
        <v>1652464</v>
      </c>
      <c r="S51" s="48">
        <f t="shared" si="70"/>
        <v>4177649</v>
      </c>
      <c r="T51" s="48">
        <f t="shared" si="70"/>
        <v>4533092</v>
      </c>
      <c r="U51" s="48">
        <f t="shared" si="70"/>
        <v>4515170</v>
      </c>
      <c r="V51" s="48">
        <f t="shared" si="70"/>
        <v>4515170</v>
      </c>
      <c r="W51" s="48">
        <f t="shared" si="70"/>
        <v>5235026</v>
      </c>
      <c r="X51" s="48">
        <f t="shared" si="70"/>
        <v>7147882</v>
      </c>
      <c r="Y51" s="48">
        <f t="shared" si="70"/>
        <v>9259869</v>
      </c>
      <c r="Z51" s="48">
        <f t="shared" si="70"/>
        <v>9022764</v>
      </c>
      <c r="AA51" s="48">
        <f t="shared" si="70"/>
        <v>9022764</v>
      </c>
      <c r="AB51" s="48">
        <f t="shared" si="70"/>
        <v>11816373</v>
      </c>
      <c r="AC51" s="48">
        <f t="shared" si="70"/>
        <v>11170652</v>
      </c>
      <c r="AD51" s="48">
        <f>AD52+AD54+AD55+AD56+AD53</f>
        <v>11762888</v>
      </c>
      <c r="AE51" s="48">
        <f>AE52+AE54+AE55+AE56+AE53</f>
        <v>10968841</v>
      </c>
      <c r="AF51" s="48">
        <f t="shared" si="47"/>
        <v>10968841</v>
      </c>
      <c r="AG51" s="48">
        <f>AG52+AG54+AG55+AG56+AG53</f>
        <v>8800437.0491451621</v>
      </c>
      <c r="AH51" s="48">
        <f t="shared" ref="AH51:BL51" si="71">AH52+AH54+AH55+AH56+AH53</f>
        <v>7749842.2867852785</v>
      </c>
      <c r="AI51" s="48">
        <f t="shared" si="71"/>
        <v>5343025.1948335432</v>
      </c>
      <c r="AJ51" s="48">
        <f t="shared" si="71"/>
        <v>4766305.9754668223</v>
      </c>
      <c r="AK51" s="48">
        <f t="shared" si="71"/>
        <v>4041016</v>
      </c>
      <c r="AL51" s="48">
        <f t="shared" si="71"/>
        <v>4041016</v>
      </c>
      <c r="AM51" s="48">
        <f t="shared" si="71"/>
        <v>4041016</v>
      </c>
      <c r="AN51" s="48">
        <f t="shared" si="71"/>
        <v>4041016</v>
      </c>
      <c r="AO51" s="48">
        <f t="shared" si="71"/>
        <v>4041016</v>
      </c>
      <c r="AP51" s="48">
        <f t="shared" si="71"/>
        <v>4041016</v>
      </c>
      <c r="AQ51" s="48">
        <f t="shared" si="71"/>
        <v>4041016</v>
      </c>
      <c r="AR51" s="48">
        <f t="shared" si="71"/>
        <v>4041016</v>
      </c>
      <c r="AS51" s="48">
        <f t="shared" si="71"/>
        <v>4041016</v>
      </c>
      <c r="AT51" s="48">
        <f t="shared" si="71"/>
        <v>4041016</v>
      </c>
      <c r="AU51" s="48">
        <f t="shared" si="71"/>
        <v>4041016</v>
      </c>
      <c r="AV51" s="48">
        <f t="shared" si="71"/>
        <v>4041016</v>
      </c>
      <c r="AW51" s="48">
        <f t="shared" si="71"/>
        <v>4041016</v>
      </c>
      <c r="AX51" s="48">
        <f t="shared" si="71"/>
        <v>4041016</v>
      </c>
      <c r="AY51" s="48">
        <f t="shared" si="71"/>
        <v>4041016</v>
      </c>
      <c r="AZ51" s="48">
        <f t="shared" si="71"/>
        <v>4041016</v>
      </c>
      <c r="BA51" s="48">
        <f t="shared" si="71"/>
        <v>4041016</v>
      </c>
      <c r="BB51" s="48">
        <f t="shared" si="71"/>
        <v>4041016</v>
      </c>
      <c r="BC51" s="48">
        <f t="shared" si="71"/>
        <v>4041016</v>
      </c>
      <c r="BD51" s="48">
        <f t="shared" si="71"/>
        <v>4041016</v>
      </c>
      <c r="BE51" s="48">
        <f t="shared" si="71"/>
        <v>4041016</v>
      </c>
      <c r="BF51" s="48">
        <f t="shared" si="71"/>
        <v>4041016</v>
      </c>
      <c r="BG51" s="48">
        <f t="shared" si="71"/>
        <v>4041016</v>
      </c>
      <c r="BH51" s="48">
        <f t="shared" si="71"/>
        <v>4041016</v>
      </c>
      <c r="BI51" s="48">
        <f t="shared" si="71"/>
        <v>4041016</v>
      </c>
      <c r="BJ51" s="48">
        <f t="shared" si="71"/>
        <v>4041016</v>
      </c>
      <c r="BK51" s="48">
        <f t="shared" si="71"/>
        <v>4041016</v>
      </c>
      <c r="BL51" s="48">
        <f t="shared" si="71"/>
        <v>4041016</v>
      </c>
      <c r="BM51" s="48">
        <f t="shared" ref="BM51:BW51" si="72">BM52+BM54+BM55+BM56+BM53</f>
        <v>4041016</v>
      </c>
      <c r="BN51" s="48">
        <f t="shared" si="72"/>
        <v>4041016</v>
      </c>
      <c r="BO51" s="48">
        <f t="shared" si="72"/>
        <v>4041016</v>
      </c>
      <c r="BP51" s="48">
        <f t="shared" si="72"/>
        <v>4041016</v>
      </c>
      <c r="BQ51" s="48">
        <f t="shared" si="72"/>
        <v>4041016</v>
      </c>
      <c r="BR51" s="48">
        <f t="shared" si="72"/>
        <v>4041016</v>
      </c>
      <c r="BS51" s="48">
        <f t="shared" si="72"/>
        <v>4041016</v>
      </c>
      <c r="BT51" s="48">
        <f t="shared" si="72"/>
        <v>4041016</v>
      </c>
      <c r="BU51" s="48">
        <f t="shared" si="72"/>
        <v>4041016</v>
      </c>
      <c r="BV51" s="48">
        <f t="shared" si="72"/>
        <v>4041016</v>
      </c>
      <c r="BW51" s="48">
        <f t="shared" si="72"/>
        <v>4041016</v>
      </c>
    </row>
    <row r="52" spans="1:75" x14ac:dyDescent="0.3">
      <c r="A52" s="1" t="s">
        <v>158</v>
      </c>
      <c r="B52" s="42" t="s">
        <v>150</v>
      </c>
      <c r="C52" s="49">
        <v>31245</v>
      </c>
      <c r="D52" s="49">
        <v>31241</v>
      </c>
      <c r="E52" s="49">
        <v>31241</v>
      </c>
      <c r="F52" s="49">
        <v>95084</v>
      </c>
      <c r="G52" s="51">
        <f t="shared" si="52"/>
        <v>95084</v>
      </c>
      <c r="H52" s="49">
        <v>775163</v>
      </c>
      <c r="I52" s="49">
        <v>724663</v>
      </c>
      <c r="J52" s="49">
        <v>459663</v>
      </c>
      <c r="K52" s="49">
        <v>810703</v>
      </c>
      <c r="L52" s="51">
        <f t="shared" si="53"/>
        <v>810703</v>
      </c>
      <c r="M52" s="49">
        <v>1145173</v>
      </c>
      <c r="N52" s="49">
        <v>1159570</v>
      </c>
      <c r="O52" s="49">
        <v>1173288</v>
      </c>
      <c r="P52" s="49">
        <v>763208</v>
      </c>
      <c r="Q52" s="51">
        <f t="shared" si="54"/>
        <v>763208</v>
      </c>
      <c r="R52" s="49">
        <v>693402</v>
      </c>
      <c r="S52" s="49">
        <v>3273558</v>
      </c>
      <c r="T52" s="49">
        <v>3682852</v>
      </c>
      <c r="U52" s="49">
        <v>3307368</v>
      </c>
      <c r="V52" s="51">
        <f t="shared" si="55"/>
        <v>3307368</v>
      </c>
      <c r="W52" s="49">
        <v>4228455</v>
      </c>
      <c r="X52" s="49">
        <v>5539105</v>
      </c>
      <c r="Y52" s="49">
        <v>7494785</v>
      </c>
      <c r="Z52" s="49">
        <v>7287626</v>
      </c>
      <c r="AA52" s="51">
        <f t="shared" si="56"/>
        <v>7287626</v>
      </c>
      <c r="AB52" s="49">
        <v>7260960</v>
      </c>
      <c r="AC52" s="49">
        <v>6198565</v>
      </c>
      <c r="AD52" s="49">
        <f>4562425+1871454</f>
        <v>6433879</v>
      </c>
      <c r="AE52" s="49">
        <v>6141102</v>
      </c>
      <c r="AF52" s="51">
        <f t="shared" si="47"/>
        <v>6141102</v>
      </c>
      <c r="AG52" s="51">
        <f>'Resultado Financeiro e Dívida'!AG$35*1000*$AD52/($AD$47+$AD$52)</f>
        <v>4759421.0491451621</v>
      </c>
      <c r="AH52" s="51">
        <f>'Resultado Financeiro e Dívida'!AH$35*1000*$AD52/($AD$47+$AD$52)</f>
        <v>3708826.286785278</v>
      </c>
      <c r="AI52" s="51">
        <f>'Resultado Financeiro e Dívida'!AI$35*1000*$AD52/($AD$47+$AD$52)</f>
        <v>1302009.1948335432</v>
      </c>
      <c r="AJ52" s="51">
        <f>'Resultado Financeiro e Dívida'!AJ$35*1000*$AD52/($AD$47+$AD$52)</f>
        <v>725289.97546682251</v>
      </c>
      <c r="AK52" s="51">
        <f>'Resultado Financeiro e Dívida'!AK$35*1000*$AD52/($AD$47+$AD$52)</f>
        <v>0</v>
      </c>
      <c r="AL52" s="51">
        <f>'Resultado Financeiro e Dívida'!AL$35*1000*$AD52/($AD$47+$AD$52)</f>
        <v>0</v>
      </c>
      <c r="AM52" s="51">
        <f>'Resultado Financeiro e Dívida'!AM$35*1000*$AD52/($AD$47+$AD$52)</f>
        <v>0</v>
      </c>
      <c r="AN52" s="51">
        <f>'Resultado Financeiro e Dívida'!AN$35*1000*$AD52/($AD$47+$AD$52)</f>
        <v>0</v>
      </c>
      <c r="AO52" s="51">
        <f>'Resultado Financeiro e Dívida'!AO$35*1000*$AD52/($AD$47+$AD$52)</f>
        <v>0</v>
      </c>
      <c r="AP52" s="51">
        <f>'Resultado Financeiro e Dívida'!AP$35*1000*$AD52/($AD$47+$AD$52)</f>
        <v>0</v>
      </c>
      <c r="AQ52" s="51">
        <f>'Resultado Financeiro e Dívida'!AQ$35*1000*$AD52/($AD$47+$AD$52)</f>
        <v>0</v>
      </c>
      <c r="AR52" s="51">
        <f>'Resultado Financeiro e Dívida'!AR$35*1000*$AD52/($AD$47+$AD$52)</f>
        <v>0</v>
      </c>
      <c r="AS52" s="51">
        <f>'Resultado Financeiro e Dívida'!AS$35*1000*$AD52/($AD$47+$AD$52)</f>
        <v>0</v>
      </c>
      <c r="AT52" s="51">
        <f>'Resultado Financeiro e Dívida'!AT$35*1000*$AD52/($AD$47+$AD$52)</f>
        <v>0</v>
      </c>
      <c r="AU52" s="51">
        <f>'Resultado Financeiro e Dívida'!AU$35*1000*$AD52/($AD$47+$AD$52)</f>
        <v>0</v>
      </c>
      <c r="AV52" s="51">
        <f>'Resultado Financeiro e Dívida'!AV$35*1000*$AD52/($AD$47+$AD$52)</f>
        <v>0</v>
      </c>
      <c r="AW52" s="51">
        <f>'Resultado Financeiro e Dívida'!AW$35*1000*$AD52/($AD$47+$AD$52)</f>
        <v>0</v>
      </c>
      <c r="AX52" s="51">
        <f>'Resultado Financeiro e Dívida'!AX$35*1000*$AD52/($AD$47+$AD$52)</f>
        <v>0</v>
      </c>
      <c r="AY52" s="51">
        <f>'Resultado Financeiro e Dívida'!AY$35*1000*$AD52/($AD$47+$AD$52)</f>
        <v>0</v>
      </c>
      <c r="AZ52" s="51">
        <f>'Resultado Financeiro e Dívida'!AZ$35*1000*$AD52/($AD$47+$AD$52)</f>
        <v>0</v>
      </c>
      <c r="BA52" s="51">
        <f>'Resultado Financeiro e Dívida'!BA$35*1000*$AD52/($AD$47+$AD$52)</f>
        <v>0</v>
      </c>
      <c r="BB52" s="51">
        <f>'Resultado Financeiro e Dívida'!BB$35*1000*$AD52/($AD$47+$AD$52)</f>
        <v>0</v>
      </c>
      <c r="BC52" s="51">
        <f>'Resultado Financeiro e Dívida'!BC$35*1000*$AD52/($AD$47+$AD$52)</f>
        <v>0</v>
      </c>
      <c r="BD52" s="51">
        <f>'Resultado Financeiro e Dívida'!BD$35*1000*$AD52/($AD$47+$AD$52)</f>
        <v>0</v>
      </c>
      <c r="BE52" s="51">
        <f>'Resultado Financeiro e Dívida'!BE$35*1000*$AD52/($AD$47+$AD$52)</f>
        <v>0</v>
      </c>
      <c r="BF52" s="51">
        <f>'Resultado Financeiro e Dívida'!BF$35*1000*$AD52/($AD$47+$AD$52)</f>
        <v>0</v>
      </c>
      <c r="BG52" s="51">
        <f>'Resultado Financeiro e Dívida'!BG$35*1000*$AD52/($AD$47+$AD$52)</f>
        <v>0</v>
      </c>
      <c r="BH52" s="51">
        <f>'Resultado Financeiro e Dívida'!BH$35*1000*$AD52/($AD$47+$AD$52)</f>
        <v>0</v>
      </c>
      <c r="BI52" s="51">
        <f>'Resultado Financeiro e Dívida'!BI$35*1000*$AD52/($AD$47+$AD$52)</f>
        <v>0</v>
      </c>
      <c r="BJ52" s="51">
        <f>'Resultado Financeiro e Dívida'!BJ$35*1000*$AD52/($AD$47+$AD$52)</f>
        <v>0</v>
      </c>
      <c r="BK52" s="51">
        <f>'Resultado Financeiro e Dívida'!BK$35*1000*$AD52/($AD$47+$AD$52)</f>
        <v>0</v>
      </c>
      <c r="BL52" s="51">
        <f>'Resultado Financeiro e Dívida'!BL$35*1000*$AD52/($AD$47+$AD$52)</f>
        <v>0</v>
      </c>
      <c r="BM52" s="51">
        <f>'Resultado Financeiro e Dívida'!BM$35*1000*$AD52/($AD$47+$AD$52)</f>
        <v>0</v>
      </c>
      <c r="BN52" s="51">
        <f>'Resultado Financeiro e Dívida'!BN$35*1000*$AD52/($AD$47+$AD$52)</f>
        <v>0</v>
      </c>
      <c r="BO52" s="51">
        <f>'Resultado Financeiro e Dívida'!BO$35*1000*$AD52/($AD$47+$AD$52)</f>
        <v>0</v>
      </c>
      <c r="BP52" s="51">
        <f>'Resultado Financeiro e Dívida'!BP$35*1000*$AD52/($AD$47+$AD$52)</f>
        <v>0</v>
      </c>
      <c r="BQ52" s="51">
        <f>'Resultado Financeiro e Dívida'!BQ$35*1000*$AD52/($AD$47+$AD$52)</f>
        <v>0</v>
      </c>
      <c r="BR52" s="51">
        <f>'Resultado Financeiro e Dívida'!BR$35*1000*$AD52/($AD$47+$AD$52)</f>
        <v>0</v>
      </c>
      <c r="BS52" s="51">
        <f>'Resultado Financeiro e Dívida'!BS$35*1000*$AD52/($AD$47+$AD$52)</f>
        <v>0</v>
      </c>
      <c r="BT52" s="51">
        <f>'Resultado Financeiro e Dívida'!BT$35*1000*$AD52/($AD$47+$AD$52)</f>
        <v>0</v>
      </c>
      <c r="BU52" s="51">
        <f>'Resultado Financeiro e Dívida'!BU$35*1000*$AD52/($AD$47+$AD$52)</f>
        <v>0</v>
      </c>
      <c r="BV52" s="51">
        <f>'Resultado Financeiro e Dívida'!BV$35*1000*$AD52/($AD$47+$AD$52)</f>
        <v>0</v>
      </c>
      <c r="BW52" s="51">
        <f>'Resultado Financeiro e Dívida'!BW$35*1000*$AD52/($AD$47+$AD$52)</f>
        <v>0</v>
      </c>
    </row>
    <row r="53" spans="1:75" x14ac:dyDescent="0.3">
      <c r="B53" s="42" t="s">
        <v>535</v>
      </c>
      <c r="C53"/>
      <c r="D53"/>
      <c r="E53"/>
      <c r="F53"/>
      <c r="G53"/>
      <c r="H53"/>
      <c r="I53"/>
      <c r="J53"/>
      <c r="K53"/>
      <c r="L53"/>
      <c r="M53"/>
      <c r="N53"/>
      <c r="O53"/>
      <c r="P53"/>
      <c r="Q53"/>
      <c r="R53"/>
      <c r="S53"/>
      <c r="T53"/>
      <c r="U53" s="49">
        <v>487467</v>
      </c>
      <c r="V53" s="51">
        <f t="shared" si="55"/>
        <v>487467</v>
      </c>
      <c r="W53" s="49">
        <v>412151</v>
      </c>
      <c r="X53" s="49">
        <v>931052</v>
      </c>
      <c r="Y53" s="49">
        <v>1061172</v>
      </c>
      <c r="Z53" s="49">
        <v>1436811</v>
      </c>
      <c r="AA53" s="51">
        <f t="shared" si="56"/>
        <v>1436811</v>
      </c>
      <c r="AB53" s="49">
        <v>1457071</v>
      </c>
      <c r="AC53" s="49">
        <v>1628705</v>
      </c>
      <c r="AD53" s="49">
        <v>1894048</v>
      </c>
      <c r="AE53" s="49">
        <v>1936736</v>
      </c>
      <c r="AF53" s="51">
        <f t="shared" si="47"/>
        <v>1936736</v>
      </c>
      <c r="AG53" s="51">
        <f t="shared" ref="AG53:BL53" si="73">AF53</f>
        <v>1936736</v>
      </c>
      <c r="AH53" s="51">
        <f t="shared" si="73"/>
        <v>1936736</v>
      </c>
      <c r="AI53" s="51">
        <f t="shared" si="73"/>
        <v>1936736</v>
      </c>
      <c r="AJ53" s="51">
        <f t="shared" si="73"/>
        <v>1936736</v>
      </c>
      <c r="AK53" s="51">
        <f t="shared" si="73"/>
        <v>1936736</v>
      </c>
      <c r="AL53" s="51">
        <f t="shared" si="73"/>
        <v>1936736</v>
      </c>
      <c r="AM53" s="51">
        <f t="shared" si="73"/>
        <v>1936736</v>
      </c>
      <c r="AN53" s="51">
        <f t="shared" si="73"/>
        <v>1936736</v>
      </c>
      <c r="AO53" s="51">
        <f t="shared" si="73"/>
        <v>1936736</v>
      </c>
      <c r="AP53" s="51">
        <f t="shared" si="73"/>
        <v>1936736</v>
      </c>
      <c r="AQ53" s="51">
        <f t="shared" si="73"/>
        <v>1936736</v>
      </c>
      <c r="AR53" s="51">
        <f t="shared" si="73"/>
        <v>1936736</v>
      </c>
      <c r="AS53" s="51">
        <f t="shared" si="73"/>
        <v>1936736</v>
      </c>
      <c r="AT53" s="51">
        <f t="shared" si="73"/>
        <v>1936736</v>
      </c>
      <c r="AU53" s="51">
        <f t="shared" si="73"/>
        <v>1936736</v>
      </c>
      <c r="AV53" s="51">
        <f t="shared" si="73"/>
        <v>1936736</v>
      </c>
      <c r="AW53" s="51">
        <f t="shared" si="73"/>
        <v>1936736</v>
      </c>
      <c r="AX53" s="51">
        <f t="shared" si="73"/>
        <v>1936736</v>
      </c>
      <c r="AY53" s="51">
        <f t="shared" si="73"/>
        <v>1936736</v>
      </c>
      <c r="AZ53" s="51">
        <f t="shared" si="73"/>
        <v>1936736</v>
      </c>
      <c r="BA53" s="51">
        <f t="shared" si="73"/>
        <v>1936736</v>
      </c>
      <c r="BB53" s="51">
        <f t="shared" si="73"/>
        <v>1936736</v>
      </c>
      <c r="BC53" s="51">
        <f t="shared" si="73"/>
        <v>1936736</v>
      </c>
      <c r="BD53" s="51">
        <f t="shared" si="73"/>
        <v>1936736</v>
      </c>
      <c r="BE53" s="51">
        <f t="shared" si="73"/>
        <v>1936736</v>
      </c>
      <c r="BF53" s="51">
        <f t="shared" si="73"/>
        <v>1936736</v>
      </c>
      <c r="BG53" s="51">
        <f t="shared" si="73"/>
        <v>1936736</v>
      </c>
      <c r="BH53" s="51">
        <f t="shared" si="73"/>
        <v>1936736</v>
      </c>
      <c r="BI53" s="51">
        <f t="shared" si="73"/>
        <v>1936736</v>
      </c>
      <c r="BJ53" s="51">
        <f t="shared" si="73"/>
        <v>1936736</v>
      </c>
      <c r="BK53" s="51">
        <f t="shared" si="73"/>
        <v>1936736</v>
      </c>
      <c r="BL53" s="51">
        <f t="shared" si="73"/>
        <v>1936736</v>
      </c>
      <c r="BM53" s="51">
        <f t="shared" ref="BM53:BW53" si="74">BL53</f>
        <v>1936736</v>
      </c>
      <c r="BN53" s="51">
        <f t="shared" si="74"/>
        <v>1936736</v>
      </c>
      <c r="BO53" s="51">
        <f t="shared" si="74"/>
        <v>1936736</v>
      </c>
      <c r="BP53" s="51">
        <f t="shared" si="74"/>
        <v>1936736</v>
      </c>
      <c r="BQ53" s="51">
        <f t="shared" si="74"/>
        <v>1936736</v>
      </c>
      <c r="BR53" s="51">
        <f t="shared" si="74"/>
        <v>1936736</v>
      </c>
      <c r="BS53" s="51">
        <f t="shared" si="74"/>
        <v>1936736</v>
      </c>
      <c r="BT53" s="51">
        <f t="shared" si="74"/>
        <v>1936736</v>
      </c>
      <c r="BU53" s="51">
        <f t="shared" si="74"/>
        <v>1936736</v>
      </c>
      <c r="BV53" s="51">
        <f t="shared" si="74"/>
        <v>1936736</v>
      </c>
      <c r="BW53" s="51">
        <f t="shared" si="74"/>
        <v>1936736</v>
      </c>
    </row>
    <row r="54" spans="1:75" x14ac:dyDescent="0.3">
      <c r="A54" s="1" t="s">
        <v>159</v>
      </c>
      <c r="B54" s="42" t="s">
        <v>152</v>
      </c>
      <c r="C54" s="49">
        <v>13161</v>
      </c>
      <c r="D54" s="49">
        <v>13161</v>
      </c>
      <c r="E54" s="49">
        <v>13161</v>
      </c>
      <c r="F54" s="49">
        <v>14057</v>
      </c>
      <c r="G54" s="51">
        <f t="shared" si="52"/>
        <v>14057</v>
      </c>
      <c r="H54" s="49">
        <v>944170</v>
      </c>
      <c r="I54" s="49">
        <v>1018806</v>
      </c>
      <c r="J54" s="49">
        <v>1058481</v>
      </c>
      <c r="K54" s="49">
        <v>14918</v>
      </c>
      <c r="L54" s="51">
        <f t="shared" si="53"/>
        <v>14918</v>
      </c>
      <c r="M54" s="49">
        <v>15343</v>
      </c>
      <c r="N54" s="49">
        <v>16111</v>
      </c>
      <c r="O54" s="49">
        <v>15362</v>
      </c>
      <c r="P54" s="49">
        <v>14600</v>
      </c>
      <c r="Q54" s="51">
        <f t="shared" si="54"/>
        <v>14600</v>
      </c>
      <c r="R54" s="49">
        <v>14408</v>
      </c>
      <c r="S54" s="49">
        <v>14754</v>
      </c>
      <c r="T54" s="49">
        <v>14569</v>
      </c>
      <c r="U54" s="49">
        <v>762</v>
      </c>
      <c r="V54" s="51">
        <f t="shared" si="55"/>
        <v>762</v>
      </c>
      <c r="W54" s="49">
        <v>1958</v>
      </c>
      <c r="X54" s="49">
        <v>2063</v>
      </c>
      <c r="Y54" s="49">
        <v>1890</v>
      </c>
      <c r="Z54" s="49">
        <v>3346</v>
      </c>
      <c r="AA54" s="51">
        <f t="shared" si="56"/>
        <v>3346</v>
      </c>
      <c r="AB54" s="49">
        <v>797954</v>
      </c>
      <c r="AC54" s="49">
        <v>729561</v>
      </c>
      <c r="AD54" s="49">
        <f>751140+30550</f>
        <v>781690</v>
      </c>
      <c r="AE54" s="49">
        <v>823473</v>
      </c>
      <c r="AF54" s="51">
        <f t="shared" si="47"/>
        <v>823473</v>
      </c>
      <c r="AG54" s="49">
        <f>AF54-786723</f>
        <v>36750</v>
      </c>
      <c r="AH54" s="51">
        <f t="shared" ref="AG54:BL55" si="75">AG54</f>
        <v>36750</v>
      </c>
      <c r="AI54" s="51">
        <f t="shared" si="75"/>
        <v>36750</v>
      </c>
      <c r="AJ54" s="51">
        <f t="shared" si="75"/>
        <v>36750</v>
      </c>
      <c r="AK54" s="51">
        <f t="shared" si="75"/>
        <v>36750</v>
      </c>
      <c r="AL54" s="51">
        <f t="shared" si="75"/>
        <v>36750</v>
      </c>
      <c r="AM54" s="51">
        <f t="shared" si="75"/>
        <v>36750</v>
      </c>
      <c r="AN54" s="51">
        <f t="shared" si="75"/>
        <v>36750</v>
      </c>
      <c r="AO54" s="51">
        <f t="shared" si="75"/>
        <v>36750</v>
      </c>
      <c r="AP54" s="51">
        <f t="shared" si="75"/>
        <v>36750</v>
      </c>
      <c r="AQ54" s="51">
        <f t="shared" si="75"/>
        <v>36750</v>
      </c>
      <c r="AR54" s="51">
        <f t="shared" si="75"/>
        <v>36750</v>
      </c>
      <c r="AS54" s="51">
        <f t="shared" si="75"/>
        <v>36750</v>
      </c>
      <c r="AT54" s="51">
        <f t="shared" si="75"/>
        <v>36750</v>
      </c>
      <c r="AU54" s="51">
        <f t="shared" si="75"/>
        <v>36750</v>
      </c>
      <c r="AV54" s="51">
        <f t="shared" si="75"/>
        <v>36750</v>
      </c>
      <c r="AW54" s="51">
        <f t="shared" si="75"/>
        <v>36750</v>
      </c>
      <c r="AX54" s="51">
        <f t="shared" si="75"/>
        <v>36750</v>
      </c>
      <c r="AY54" s="51">
        <f t="shared" si="75"/>
        <v>36750</v>
      </c>
      <c r="AZ54" s="51">
        <f t="shared" si="75"/>
        <v>36750</v>
      </c>
      <c r="BA54" s="51">
        <f t="shared" si="75"/>
        <v>36750</v>
      </c>
      <c r="BB54" s="51">
        <f t="shared" si="75"/>
        <v>36750</v>
      </c>
      <c r="BC54" s="51">
        <f t="shared" si="75"/>
        <v>36750</v>
      </c>
      <c r="BD54" s="51">
        <f t="shared" si="75"/>
        <v>36750</v>
      </c>
      <c r="BE54" s="51">
        <f t="shared" si="75"/>
        <v>36750</v>
      </c>
      <c r="BF54" s="51">
        <f t="shared" si="75"/>
        <v>36750</v>
      </c>
      <c r="BG54" s="51">
        <f t="shared" si="75"/>
        <v>36750</v>
      </c>
      <c r="BH54" s="51">
        <f t="shared" si="75"/>
        <v>36750</v>
      </c>
      <c r="BI54" s="51">
        <f t="shared" si="75"/>
        <v>36750</v>
      </c>
      <c r="BJ54" s="51">
        <f t="shared" si="75"/>
        <v>36750</v>
      </c>
      <c r="BK54" s="51">
        <f t="shared" si="75"/>
        <v>36750</v>
      </c>
      <c r="BL54" s="51">
        <f t="shared" si="75"/>
        <v>36750</v>
      </c>
      <c r="BM54" s="51">
        <f t="shared" ref="BM54:BW54" si="76">BL54</f>
        <v>36750</v>
      </c>
      <c r="BN54" s="51">
        <f t="shared" si="76"/>
        <v>36750</v>
      </c>
      <c r="BO54" s="51">
        <f t="shared" si="76"/>
        <v>36750</v>
      </c>
      <c r="BP54" s="51">
        <f t="shared" si="76"/>
        <v>36750</v>
      </c>
      <c r="BQ54" s="51">
        <f t="shared" si="76"/>
        <v>36750</v>
      </c>
      <c r="BR54" s="51">
        <f t="shared" si="76"/>
        <v>36750</v>
      </c>
      <c r="BS54" s="51">
        <f t="shared" si="76"/>
        <v>36750</v>
      </c>
      <c r="BT54" s="51">
        <f t="shared" si="76"/>
        <v>36750</v>
      </c>
      <c r="BU54" s="51">
        <f t="shared" si="76"/>
        <v>36750</v>
      </c>
      <c r="BV54" s="51">
        <f t="shared" si="76"/>
        <v>36750</v>
      </c>
      <c r="BW54" s="51">
        <f t="shared" si="76"/>
        <v>36750</v>
      </c>
    </row>
    <row r="55" spans="1:75" x14ac:dyDescent="0.3">
      <c r="A55" s="1" t="s">
        <v>160</v>
      </c>
      <c r="B55" s="42" t="s">
        <v>133</v>
      </c>
      <c r="C55" s="49">
        <v>25447</v>
      </c>
      <c r="D55" s="49">
        <v>18859</v>
      </c>
      <c r="E55" s="49">
        <v>2108</v>
      </c>
      <c r="F55" s="49">
        <v>0</v>
      </c>
      <c r="G55" s="51">
        <f t="shared" si="52"/>
        <v>0</v>
      </c>
      <c r="H55" s="49">
        <v>2272</v>
      </c>
      <c r="I55" s="49">
        <v>0</v>
      </c>
      <c r="J55" s="49">
        <v>0</v>
      </c>
      <c r="K55" s="49">
        <v>0</v>
      </c>
      <c r="L55" s="51">
        <f t="shared" si="53"/>
        <v>0</v>
      </c>
      <c r="M55" s="49">
        <v>0</v>
      </c>
      <c r="N55" s="49">
        <v>0</v>
      </c>
      <c r="O55" s="49">
        <v>0</v>
      </c>
      <c r="P55" s="49">
        <v>0</v>
      </c>
      <c r="Q55" s="51">
        <f t="shared" si="54"/>
        <v>0</v>
      </c>
      <c r="R55" s="49">
        <v>0</v>
      </c>
      <c r="S55" s="49">
        <v>0</v>
      </c>
      <c r="T55" s="49">
        <v>0</v>
      </c>
      <c r="U55" s="49">
        <v>0</v>
      </c>
      <c r="V55" s="51">
        <f t="shared" si="55"/>
        <v>0</v>
      </c>
      <c r="W55" s="49">
        <v>0</v>
      </c>
      <c r="X55" s="49">
        <v>0</v>
      </c>
      <c r="Y55" s="49">
        <v>0</v>
      </c>
      <c r="Z55" s="49">
        <v>0</v>
      </c>
      <c r="AA55" s="51">
        <f t="shared" si="56"/>
        <v>0</v>
      </c>
      <c r="AB55" s="49">
        <v>0</v>
      </c>
      <c r="AC55" s="49">
        <v>0</v>
      </c>
      <c r="AD55" s="49">
        <v>0</v>
      </c>
      <c r="AE55" s="49">
        <v>0</v>
      </c>
      <c r="AF55" s="51">
        <f t="shared" si="47"/>
        <v>0</v>
      </c>
      <c r="AG55" s="51">
        <f t="shared" si="75"/>
        <v>0</v>
      </c>
      <c r="AH55" s="51">
        <f t="shared" si="75"/>
        <v>0</v>
      </c>
      <c r="AI55" s="51">
        <f t="shared" si="75"/>
        <v>0</v>
      </c>
      <c r="AJ55" s="51">
        <f t="shared" si="75"/>
        <v>0</v>
      </c>
      <c r="AK55" s="51">
        <f t="shared" si="75"/>
        <v>0</v>
      </c>
      <c r="AL55" s="51">
        <f t="shared" si="75"/>
        <v>0</v>
      </c>
      <c r="AM55" s="51">
        <f t="shared" si="75"/>
        <v>0</v>
      </c>
      <c r="AN55" s="51">
        <f t="shared" si="75"/>
        <v>0</v>
      </c>
      <c r="AO55" s="51">
        <f t="shared" si="75"/>
        <v>0</v>
      </c>
      <c r="AP55" s="51">
        <f t="shared" si="75"/>
        <v>0</v>
      </c>
      <c r="AQ55" s="51">
        <f t="shared" si="75"/>
        <v>0</v>
      </c>
      <c r="AR55" s="51">
        <f t="shared" si="75"/>
        <v>0</v>
      </c>
      <c r="AS55" s="51">
        <f t="shared" si="75"/>
        <v>0</v>
      </c>
      <c r="AT55" s="51">
        <f t="shared" si="75"/>
        <v>0</v>
      </c>
      <c r="AU55" s="51">
        <f t="shared" si="75"/>
        <v>0</v>
      </c>
      <c r="AV55" s="51">
        <f t="shared" si="75"/>
        <v>0</v>
      </c>
      <c r="AW55" s="51">
        <f t="shared" si="75"/>
        <v>0</v>
      </c>
      <c r="AX55" s="51">
        <f t="shared" si="75"/>
        <v>0</v>
      </c>
      <c r="AY55" s="51">
        <f t="shared" si="75"/>
        <v>0</v>
      </c>
      <c r="AZ55" s="51">
        <f t="shared" si="75"/>
        <v>0</v>
      </c>
      <c r="BA55" s="51">
        <f t="shared" si="75"/>
        <v>0</v>
      </c>
      <c r="BB55" s="51">
        <f t="shared" si="75"/>
        <v>0</v>
      </c>
      <c r="BC55" s="51">
        <f t="shared" si="75"/>
        <v>0</v>
      </c>
      <c r="BD55" s="51">
        <f t="shared" si="75"/>
        <v>0</v>
      </c>
      <c r="BE55" s="51">
        <f t="shared" si="75"/>
        <v>0</v>
      </c>
      <c r="BF55" s="51">
        <f t="shared" si="75"/>
        <v>0</v>
      </c>
      <c r="BG55" s="51">
        <f t="shared" si="75"/>
        <v>0</v>
      </c>
      <c r="BH55" s="51">
        <f t="shared" si="75"/>
        <v>0</v>
      </c>
      <c r="BI55" s="51">
        <f t="shared" si="75"/>
        <v>0</v>
      </c>
      <c r="BJ55" s="51">
        <f t="shared" si="75"/>
        <v>0</v>
      </c>
      <c r="BK55" s="51">
        <f t="shared" si="75"/>
        <v>0</v>
      </c>
      <c r="BL55" s="51">
        <f t="shared" si="75"/>
        <v>0</v>
      </c>
      <c r="BM55" s="51">
        <f t="shared" ref="BM55:BW55" si="77">BL55</f>
        <v>0</v>
      </c>
      <c r="BN55" s="51">
        <f t="shared" si="77"/>
        <v>0</v>
      </c>
      <c r="BO55" s="51">
        <f t="shared" si="77"/>
        <v>0</v>
      </c>
      <c r="BP55" s="51">
        <f t="shared" si="77"/>
        <v>0</v>
      </c>
      <c r="BQ55" s="51">
        <f t="shared" si="77"/>
        <v>0</v>
      </c>
      <c r="BR55" s="51">
        <f t="shared" si="77"/>
        <v>0</v>
      </c>
      <c r="BS55" s="51">
        <f t="shared" si="77"/>
        <v>0</v>
      </c>
      <c r="BT55" s="51">
        <f t="shared" si="77"/>
        <v>0</v>
      </c>
      <c r="BU55" s="51">
        <f t="shared" si="77"/>
        <v>0</v>
      </c>
      <c r="BV55" s="51">
        <f t="shared" si="77"/>
        <v>0</v>
      </c>
      <c r="BW55" s="51">
        <f t="shared" si="77"/>
        <v>0</v>
      </c>
    </row>
    <row r="56" spans="1:75" x14ac:dyDescent="0.3">
      <c r="A56" s="1" t="s">
        <v>161</v>
      </c>
      <c r="B56" s="42" t="s">
        <v>153</v>
      </c>
      <c r="C56" s="49">
        <v>89941</v>
      </c>
      <c r="D56" s="49">
        <v>106416</v>
      </c>
      <c r="E56" s="49">
        <v>106362</v>
      </c>
      <c r="F56" s="49">
        <v>53879</v>
      </c>
      <c r="G56" s="51">
        <f t="shared" si="52"/>
        <v>53879</v>
      </c>
      <c r="H56" s="49">
        <v>656202</v>
      </c>
      <c r="I56" s="49">
        <v>563933</v>
      </c>
      <c r="J56" s="49">
        <v>625273</v>
      </c>
      <c r="K56" s="49">
        <v>829246</v>
      </c>
      <c r="L56" s="51">
        <f t="shared" si="53"/>
        <v>829246</v>
      </c>
      <c r="M56" s="49">
        <v>938838</v>
      </c>
      <c r="N56" s="49">
        <v>996106</v>
      </c>
      <c r="O56" s="49">
        <v>1273718</v>
      </c>
      <c r="P56" s="49">
        <v>714313</v>
      </c>
      <c r="Q56" s="51">
        <f t="shared" si="54"/>
        <v>714313</v>
      </c>
      <c r="R56" s="49">
        <v>944654</v>
      </c>
      <c r="S56" s="49">
        <v>889337</v>
      </c>
      <c r="T56" s="49">
        <v>835671</v>
      </c>
      <c r="U56" s="49">
        <v>719573</v>
      </c>
      <c r="V56" s="51">
        <f t="shared" si="55"/>
        <v>719573</v>
      </c>
      <c r="W56" s="49">
        <v>592462</v>
      </c>
      <c r="X56" s="49">
        <v>675662</v>
      </c>
      <c r="Y56" s="49">
        <v>702022</v>
      </c>
      <c r="Z56" s="49">
        <v>294981</v>
      </c>
      <c r="AA56" s="51">
        <f t="shared" si="56"/>
        <v>294981</v>
      </c>
      <c r="AB56" s="49">
        <v>2300388</v>
      </c>
      <c r="AC56" s="49">
        <v>2613821</v>
      </c>
      <c r="AD56" s="49">
        <f>1638258+1015013</f>
        <v>2653271</v>
      </c>
      <c r="AE56" s="49">
        <v>2067530</v>
      </c>
      <c r="AF56" s="51">
        <f t="shared" si="47"/>
        <v>2067530</v>
      </c>
      <c r="AG56" s="51">
        <f t="shared" ref="AG56:BL56" si="78">AF56</f>
        <v>2067530</v>
      </c>
      <c r="AH56" s="51">
        <f t="shared" si="78"/>
        <v>2067530</v>
      </c>
      <c r="AI56" s="51">
        <f t="shared" si="78"/>
        <v>2067530</v>
      </c>
      <c r="AJ56" s="51">
        <f t="shared" si="78"/>
        <v>2067530</v>
      </c>
      <c r="AK56" s="51">
        <f t="shared" si="78"/>
        <v>2067530</v>
      </c>
      <c r="AL56" s="51">
        <f t="shared" si="78"/>
        <v>2067530</v>
      </c>
      <c r="AM56" s="51">
        <f t="shared" si="78"/>
        <v>2067530</v>
      </c>
      <c r="AN56" s="51">
        <f t="shared" si="78"/>
        <v>2067530</v>
      </c>
      <c r="AO56" s="51">
        <f t="shared" si="78"/>
        <v>2067530</v>
      </c>
      <c r="AP56" s="51">
        <f t="shared" si="78"/>
        <v>2067530</v>
      </c>
      <c r="AQ56" s="51">
        <f t="shared" si="78"/>
        <v>2067530</v>
      </c>
      <c r="AR56" s="51">
        <f t="shared" si="78"/>
        <v>2067530</v>
      </c>
      <c r="AS56" s="51">
        <f t="shared" si="78"/>
        <v>2067530</v>
      </c>
      <c r="AT56" s="51">
        <f t="shared" si="78"/>
        <v>2067530</v>
      </c>
      <c r="AU56" s="51">
        <f t="shared" si="78"/>
        <v>2067530</v>
      </c>
      <c r="AV56" s="51">
        <f t="shared" si="78"/>
        <v>2067530</v>
      </c>
      <c r="AW56" s="51">
        <f t="shared" si="78"/>
        <v>2067530</v>
      </c>
      <c r="AX56" s="51">
        <f t="shared" si="78"/>
        <v>2067530</v>
      </c>
      <c r="AY56" s="51">
        <f t="shared" si="78"/>
        <v>2067530</v>
      </c>
      <c r="AZ56" s="51">
        <f t="shared" si="78"/>
        <v>2067530</v>
      </c>
      <c r="BA56" s="51">
        <f t="shared" si="78"/>
        <v>2067530</v>
      </c>
      <c r="BB56" s="51">
        <f t="shared" si="78"/>
        <v>2067530</v>
      </c>
      <c r="BC56" s="51">
        <f t="shared" si="78"/>
        <v>2067530</v>
      </c>
      <c r="BD56" s="51">
        <f t="shared" si="78"/>
        <v>2067530</v>
      </c>
      <c r="BE56" s="51">
        <f t="shared" si="78"/>
        <v>2067530</v>
      </c>
      <c r="BF56" s="51">
        <f t="shared" si="78"/>
        <v>2067530</v>
      </c>
      <c r="BG56" s="51">
        <f t="shared" si="78"/>
        <v>2067530</v>
      </c>
      <c r="BH56" s="51">
        <f t="shared" si="78"/>
        <v>2067530</v>
      </c>
      <c r="BI56" s="51">
        <f t="shared" si="78"/>
        <v>2067530</v>
      </c>
      <c r="BJ56" s="51">
        <f t="shared" si="78"/>
        <v>2067530</v>
      </c>
      <c r="BK56" s="51">
        <f t="shared" si="78"/>
        <v>2067530</v>
      </c>
      <c r="BL56" s="51">
        <f t="shared" si="78"/>
        <v>2067530</v>
      </c>
      <c r="BM56" s="51">
        <f t="shared" ref="BM56:BW56" si="79">BL56</f>
        <v>2067530</v>
      </c>
      <c r="BN56" s="51">
        <f t="shared" si="79"/>
        <v>2067530</v>
      </c>
      <c r="BO56" s="51">
        <f t="shared" si="79"/>
        <v>2067530</v>
      </c>
      <c r="BP56" s="51">
        <f t="shared" si="79"/>
        <v>2067530</v>
      </c>
      <c r="BQ56" s="51">
        <f t="shared" si="79"/>
        <v>2067530</v>
      </c>
      <c r="BR56" s="51">
        <f t="shared" si="79"/>
        <v>2067530</v>
      </c>
      <c r="BS56" s="51">
        <f t="shared" si="79"/>
        <v>2067530</v>
      </c>
      <c r="BT56" s="51">
        <f t="shared" si="79"/>
        <v>2067530</v>
      </c>
      <c r="BU56" s="51">
        <f t="shared" si="79"/>
        <v>2067530</v>
      </c>
      <c r="BV56" s="51">
        <f t="shared" si="79"/>
        <v>2067530</v>
      </c>
      <c r="BW56" s="51">
        <f t="shared" si="79"/>
        <v>2067530</v>
      </c>
    </row>
    <row r="57" spans="1:75" s="38" customFormat="1" x14ac:dyDescent="0.3">
      <c r="A57" s="1" t="s">
        <v>162</v>
      </c>
      <c r="B57" s="64" t="s">
        <v>176</v>
      </c>
      <c r="C57" s="48">
        <f t="shared" ref="C57:AE57" si="80">C58+C59+C60+C61+C62+C63+C64</f>
        <v>881116</v>
      </c>
      <c r="D57" s="48">
        <f t="shared" si="80"/>
        <v>941004</v>
      </c>
      <c r="E57" s="48">
        <f t="shared" si="80"/>
        <v>959645</v>
      </c>
      <c r="F57" s="48">
        <f t="shared" si="80"/>
        <v>982174</v>
      </c>
      <c r="G57" s="48">
        <f t="shared" si="80"/>
        <v>982174</v>
      </c>
      <c r="H57" s="48">
        <f t="shared" si="80"/>
        <v>1032595</v>
      </c>
      <c r="I57" s="48">
        <f t="shared" si="80"/>
        <v>1199765</v>
      </c>
      <c r="J57" s="48">
        <f t="shared" si="80"/>
        <v>1315232</v>
      </c>
      <c r="K57" s="48">
        <f t="shared" si="80"/>
        <v>2165101</v>
      </c>
      <c r="L57" s="48">
        <f t="shared" si="80"/>
        <v>2165101</v>
      </c>
      <c r="M57" s="48">
        <f t="shared" si="80"/>
        <v>2562657</v>
      </c>
      <c r="N57" s="48">
        <f t="shared" si="80"/>
        <v>2581166</v>
      </c>
      <c r="O57" s="48">
        <f t="shared" si="80"/>
        <v>2542845</v>
      </c>
      <c r="P57" s="48">
        <f t="shared" si="80"/>
        <v>3151263</v>
      </c>
      <c r="Q57" s="48">
        <f t="shared" si="80"/>
        <v>3151263</v>
      </c>
      <c r="R57" s="48">
        <f t="shared" si="80"/>
        <v>5335225</v>
      </c>
      <c r="S57" s="48">
        <f t="shared" si="80"/>
        <v>5421757</v>
      </c>
      <c r="T57" s="48">
        <f t="shared" si="80"/>
        <v>5686920</v>
      </c>
      <c r="U57" s="48">
        <f t="shared" si="80"/>
        <v>6620249</v>
      </c>
      <c r="V57" s="48">
        <f t="shared" si="80"/>
        <v>6620249</v>
      </c>
      <c r="W57" s="48">
        <f t="shared" si="80"/>
        <v>6722946</v>
      </c>
      <c r="X57" s="48">
        <f t="shared" si="80"/>
        <v>8171627</v>
      </c>
      <c r="Y57" s="48">
        <f t="shared" si="80"/>
        <v>9237921</v>
      </c>
      <c r="Z57" s="48">
        <f t="shared" si="80"/>
        <v>9892017</v>
      </c>
      <c r="AA57" s="48">
        <f t="shared" si="80"/>
        <v>9892017</v>
      </c>
      <c r="AB57" s="48">
        <f t="shared" si="80"/>
        <v>10628965</v>
      </c>
      <c r="AC57" s="48">
        <f t="shared" si="80"/>
        <v>10753888</v>
      </c>
      <c r="AD57" s="48">
        <f t="shared" si="80"/>
        <v>12901104</v>
      </c>
      <c r="AE57" s="48">
        <f t="shared" si="80"/>
        <v>13878280</v>
      </c>
      <c r="AF57" s="48">
        <f t="shared" si="47"/>
        <v>13878280</v>
      </c>
      <c r="AG57" s="48">
        <f ca="1">AG15-AG42-AG51</f>
        <v>19386892.616356295</v>
      </c>
      <c r="AH57" s="48">
        <f t="shared" ref="AH57:BW57" ca="1" si="81">AH15-AH42-AH51</f>
        <v>22449122.898414917</v>
      </c>
      <c r="AI57" s="48">
        <f t="shared" ca="1" si="81"/>
        <v>25077599.207375865</v>
      </c>
      <c r="AJ57" s="48">
        <f t="shared" ca="1" si="81"/>
        <v>25235754.620692156</v>
      </c>
      <c r="AK57" s="48">
        <f t="shared" ca="1" si="81"/>
        <v>24456774.78992046</v>
      </c>
      <c r="AL57" s="48">
        <f t="shared" ca="1" si="81"/>
        <v>23286512.903390273</v>
      </c>
      <c r="AM57" s="48">
        <f t="shared" ca="1" si="81"/>
        <v>20419566.215200137</v>
      </c>
      <c r="AN57" s="48">
        <f t="shared" ca="1" si="81"/>
        <v>17518758.643430434</v>
      </c>
      <c r="AO57" s="48">
        <f t="shared" ca="1" si="81"/>
        <v>15262259.275893182</v>
      </c>
      <c r="AP57" s="48">
        <f t="shared" ca="1" si="81"/>
        <v>13331821.813666269</v>
      </c>
      <c r="AQ57" s="48">
        <f t="shared" ca="1" si="81"/>
        <v>11677811.55127657</v>
      </c>
      <c r="AR57" s="48">
        <f t="shared" ca="1" si="81"/>
        <v>10198216.192434719</v>
      </c>
      <c r="AS57" s="48">
        <f t="shared" ca="1" si="81"/>
        <v>8862038.1982155871</v>
      </c>
      <c r="AT57" s="48">
        <f t="shared" ca="1" si="81"/>
        <v>7591263.427058598</v>
      </c>
      <c r="AU57" s="48">
        <f t="shared" ca="1" si="81"/>
        <v>6553710.9141927604</v>
      </c>
      <c r="AV57" s="48">
        <f t="shared" ca="1" si="81"/>
        <v>5744076.3166146725</v>
      </c>
      <c r="AW57" s="48">
        <f t="shared" ca="1" si="81"/>
        <v>4738835.7874478903</v>
      </c>
      <c r="AX57" s="48">
        <f t="shared" ca="1" si="81"/>
        <v>4091054.9513978017</v>
      </c>
      <c r="AY57" s="48">
        <f t="shared" ca="1" si="81"/>
        <v>3522364.1311612874</v>
      </c>
      <c r="AZ57" s="48">
        <f t="shared" ca="1" si="81"/>
        <v>3001113.5020261453</v>
      </c>
      <c r="BA57" s="48">
        <f t="shared" ca="1" si="81"/>
        <v>2561700.5585953128</v>
      </c>
      <c r="BB57" s="48">
        <f t="shared" ca="1" si="81"/>
        <v>2119082.9367898852</v>
      </c>
      <c r="BC57" s="48">
        <f t="shared" ca="1" si="81"/>
        <v>1743567.5523072733</v>
      </c>
      <c r="BD57" s="48">
        <f t="shared" ca="1" si="81"/>
        <v>1374854.5482596625</v>
      </c>
      <c r="BE57" s="48">
        <f t="shared" ca="1" si="81"/>
        <v>1017679.8432709165</v>
      </c>
      <c r="BF57" s="48">
        <f t="shared" ca="1" si="81"/>
        <v>569448.05064332113</v>
      </c>
      <c r="BG57" s="48">
        <f t="shared" ca="1" si="81"/>
        <v>-198864.04774185317</v>
      </c>
      <c r="BH57" s="48">
        <f t="shared" ca="1" si="81"/>
        <v>-680754.19194458518</v>
      </c>
      <c r="BI57" s="48">
        <f t="shared" ca="1" si="81"/>
        <v>-1001767.2355087595</v>
      </c>
      <c r="BJ57" s="48">
        <f t="shared" ca="1" si="81"/>
        <v>-1587419</v>
      </c>
      <c r="BK57" s="48">
        <f t="shared" ca="1" si="81"/>
        <v>-1587419</v>
      </c>
      <c r="BL57" s="48">
        <f t="shared" ca="1" si="81"/>
        <v>-1587419</v>
      </c>
      <c r="BM57" s="48">
        <f t="shared" ca="1" si="81"/>
        <v>-1587419</v>
      </c>
      <c r="BN57" s="48">
        <f t="shared" ca="1" si="81"/>
        <v>-1587419</v>
      </c>
      <c r="BO57" s="48">
        <f t="shared" ca="1" si="81"/>
        <v>-1587419</v>
      </c>
      <c r="BP57" s="48">
        <f t="shared" ca="1" si="81"/>
        <v>-1587419</v>
      </c>
      <c r="BQ57" s="48">
        <f t="shared" ca="1" si="81"/>
        <v>-1587419</v>
      </c>
      <c r="BR57" s="48">
        <f t="shared" ca="1" si="81"/>
        <v>-1587419</v>
      </c>
      <c r="BS57" s="48">
        <f t="shared" ca="1" si="81"/>
        <v>-1587419</v>
      </c>
      <c r="BT57" s="48">
        <f t="shared" ca="1" si="81"/>
        <v>-1587419</v>
      </c>
      <c r="BU57" s="48">
        <f t="shared" ca="1" si="81"/>
        <v>-1587419</v>
      </c>
      <c r="BV57" s="48">
        <f t="shared" ca="1" si="81"/>
        <v>-1587419</v>
      </c>
      <c r="BW57" s="48">
        <f t="shared" ca="1" si="81"/>
        <v>-1587419</v>
      </c>
    </row>
    <row r="58" spans="1:75" x14ac:dyDescent="0.3">
      <c r="A58" s="1" t="s">
        <v>163</v>
      </c>
      <c r="B58" s="47" t="s">
        <v>164</v>
      </c>
      <c r="C58" s="49">
        <v>3273110</v>
      </c>
      <c r="D58" s="49">
        <v>3273114</v>
      </c>
      <c r="E58" s="49">
        <v>3273114</v>
      </c>
      <c r="F58" s="49">
        <v>3273114</v>
      </c>
      <c r="G58" s="51">
        <f t="shared" si="52"/>
        <v>3273114</v>
      </c>
      <c r="H58" s="49">
        <v>3292211</v>
      </c>
      <c r="I58" s="49">
        <v>3307246</v>
      </c>
      <c r="J58" s="49">
        <v>3307246</v>
      </c>
      <c r="K58" s="49">
        <v>3316411</v>
      </c>
      <c r="L58" s="51">
        <f t="shared" si="53"/>
        <v>3316411</v>
      </c>
      <c r="M58" s="49">
        <v>3326998</v>
      </c>
      <c r="N58" s="49">
        <v>3326998</v>
      </c>
      <c r="O58" s="49">
        <v>3326998</v>
      </c>
      <c r="P58" s="49">
        <v>3326900</v>
      </c>
      <c r="Q58" s="51">
        <f t="shared" si="54"/>
        <v>3326900</v>
      </c>
      <c r="R58" s="49">
        <v>5305772</v>
      </c>
      <c r="S58" s="49">
        <v>5303644</v>
      </c>
      <c r="T58" s="49">
        <v>5303644</v>
      </c>
      <c r="U58" s="49">
        <v>5303644</v>
      </c>
      <c r="V58" s="51">
        <f t="shared" si="55"/>
        <v>5303644</v>
      </c>
      <c r="W58" s="49">
        <v>5320231</v>
      </c>
      <c r="X58" s="49">
        <v>5320231</v>
      </c>
      <c r="Y58" s="49">
        <v>5319674</v>
      </c>
      <c r="Z58" s="49">
        <v>5319674</v>
      </c>
      <c r="AA58" s="51">
        <f t="shared" si="56"/>
        <v>5319674</v>
      </c>
      <c r="AB58" s="49">
        <v>5352792</v>
      </c>
      <c r="AC58" s="49">
        <v>5352792</v>
      </c>
      <c r="AD58" s="49">
        <v>5352792</v>
      </c>
      <c r="AE58" s="49">
        <v>5352792</v>
      </c>
      <c r="AF58" s="51">
        <f t="shared" si="47"/>
        <v>5352792</v>
      </c>
    </row>
    <row r="59" spans="1:75" x14ac:dyDescent="0.3">
      <c r="A59" s="1" t="s">
        <v>165</v>
      </c>
      <c r="B59" s="47" t="s">
        <v>166</v>
      </c>
      <c r="C59" s="49">
        <v>72997</v>
      </c>
      <c r="D59" s="49">
        <v>49067</v>
      </c>
      <c r="E59" s="49">
        <v>50510</v>
      </c>
      <c r="F59" s="49">
        <v>67094</v>
      </c>
      <c r="G59" s="51">
        <f t="shared" si="52"/>
        <v>67094</v>
      </c>
      <c r="H59" s="49">
        <v>82240</v>
      </c>
      <c r="I59" s="49">
        <v>193448</v>
      </c>
      <c r="J59" s="49">
        <v>198284</v>
      </c>
      <c r="K59" s="49">
        <v>228027</v>
      </c>
      <c r="L59" s="51">
        <f t="shared" si="53"/>
        <v>228027</v>
      </c>
      <c r="M59" s="49">
        <v>229312</v>
      </c>
      <c r="N59" s="49">
        <v>231245</v>
      </c>
      <c r="O59" s="49">
        <v>233362</v>
      </c>
      <c r="P59" s="49">
        <v>321359</v>
      </c>
      <c r="Q59" s="51">
        <f t="shared" si="54"/>
        <v>321359</v>
      </c>
      <c r="R59" s="49">
        <v>321483</v>
      </c>
      <c r="S59" s="49">
        <v>322294</v>
      </c>
      <c r="T59" s="49">
        <v>338879</v>
      </c>
      <c r="U59" s="49">
        <v>348886</v>
      </c>
      <c r="V59" s="51">
        <f t="shared" si="55"/>
        <v>348886</v>
      </c>
      <c r="W59" s="49">
        <v>354036</v>
      </c>
      <c r="X59" s="49">
        <v>370351</v>
      </c>
      <c r="Y59" s="49">
        <v>381665</v>
      </c>
      <c r="Z59" s="49">
        <v>377427</v>
      </c>
      <c r="AA59" s="51">
        <f t="shared" si="56"/>
        <v>377427</v>
      </c>
      <c r="AB59" s="49">
        <v>199890</v>
      </c>
      <c r="AC59" s="49">
        <v>278597</v>
      </c>
      <c r="AD59" s="49">
        <v>295848</v>
      </c>
      <c r="AE59" s="49">
        <v>-171877</v>
      </c>
      <c r="AF59" s="51">
        <f t="shared" si="47"/>
        <v>-171877</v>
      </c>
    </row>
    <row r="60" spans="1:75" x14ac:dyDescent="0.3">
      <c r="A60" s="1" t="s">
        <v>167</v>
      </c>
      <c r="B60" s="47" t="s">
        <v>168</v>
      </c>
      <c r="C60"/>
      <c r="D60"/>
      <c r="E60"/>
      <c r="F60"/>
      <c r="G60"/>
      <c r="H60"/>
      <c r="I60"/>
      <c r="J60"/>
      <c r="K60"/>
      <c r="L60"/>
      <c r="M60"/>
      <c r="N60"/>
      <c r="O60"/>
      <c r="P60"/>
      <c r="Q60"/>
      <c r="R60"/>
      <c r="S60"/>
      <c r="T60"/>
      <c r="U60" s="49">
        <v>255381</v>
      </c>
      <c r="V60" s="51">
        <f t="shared" si="55"/>
        <v>255381</v>
      </c>
      <c r="W60" s="49">
        <v>255381</v>
      </c>
      <c r="X60" s="49">
        <v>255381</v>
      </c>
      <c r="Y60" s="49">
        <v>255381</v>
      </c>
      <c r="Z60" s="49">
        <v>255381</v>
      </c>
      <c r="AA60" s="51">
        <f t="shared" si="56"/>
        <v>255381</v>
      </c>
      <c r="AB60" s="49">
        <v>3682453</v>
      </c>
      <c r="AC60" s="49">
        <v>3256052</v>
      </c>
      <c r="AD60" s="49">
        <v>3256052</v>
      </c>
      <c r="AE60" s="49">
        <v>3256052</v>
      </c>
      <c r="AF60" s="51">
        <f t="shared" si="47"/>
        <v>3256052</v>
      </c>
    </row>
    <row r="61" spans="1:75" x14ac:dyDescent="0.3">
      <c r="A61" s="1" t="s">
        <v>169</v>
      </c>
      <c r="B61" s="47" t="s">
        <v>170</v>
      </c>
      <c r="C61" s="49">
        <v>-2545083</v>
      </c>
      <c r="D61" s="49">
        <v>-2474524</v>
      </c>
      <c r="E61" s="49">
        <v>-2403065</v>
      </c>
      <c r="F61" s="49">
        <v>-2372777</v>
      </c>
      <c r="G61" s="51">
        <f t="shared" si="52"/>
        <v>-2372777</v>
      </c>
      <c r="H61" s="49">
        <v>-2396581</v>
      </c>
      <c r="I61" s="49">
        <v>-2330919</v>
      </c>
      <c r="J61" s="49">
        <v>-2324981</v>
      </c>
      <c r="K61" s="49">
        <v>-1530431</v>
      </c>
      <c r="L61" s="51">
        <f t="shared" si="53"/>
        <v>-1530431</v>
      </c>
      <c r="M61" s="49">
        <v>-1591892</v>
      </c>
      <c r="N61" s="49">
        <v>-1691694</v>
      </c>
      <c r="O61" s="49">
        <v>-1802292</v>
      </c>
      <c r="P61" s="49">
        <v>-1077665</v>
      </c>
      <c r="Q61" s="51">
        <f t="shared" si="54"/>
        <v>-1077665</v>
      </c>
      <c r="R61" s="49">
        <v>-1143456</v>
      </c>
      <c r="S61" s="49">
        <v>-722554</v>
      </c>
      <c r="T61" s="49">
        <v>-625450</v>
      </c>
      <c r="U61" s="49">
        <v>0</v>
      </c>
      <c r="V61" s="51">
        <f t="shared" si="55"/>
        <v>0</v>
      </c>
      <c r="W61" s="49">
        <v>1068970</v>
      </c>
      <c r="X61" s="49">
        <v>1708050</v>
      </c>
      <c r="Y61" s="49">
        <v>2500364</v>
      </c>
      <c r="Z61" s="49">
        <v>3427072</v>
      </c>
      <c r="AA61" s="51">
        <f t="shared" si="56"/>
        <v>3427072</v>
      </c>
      <c r="AB61" s="49">
        <v>1162065</v>
      </c>
      <c r="AC61" s="49">
        <v>2003034</v>
      </c>
      <c r="AD61" s="49">
        <v>3631858</v>
      </c>
      <c r="AE61" s="49">
        <v>5545689</v>
      </c>
      <c r="AF61" s="51">
        <f t="shared" si="47"/>
        <v>5545689</v>
      </c>
    </row>
    <row r="62" spans="1:75" x14ac:dyDescent="0.3">
      <c r="A62" s="1" t="s">
        <v>171</v>
      </c>
      <c r="B62" s="47" t="s">
        <v>172</v>
      </c>
      <c r="C62" s="49">
        <v>15141</v>
      </c>
      <c r="D62" s="49">
        <v>-2838</v>
      </c>
      <c r="E62" s="49">
        <v>-64408</v>
      </c>
      <c r="F62" s="49">
        <v>-79314</v>
      </c>
      <c r="G62" s="51">
        <f t="shared" si="52"/>
        <v>-79314</v>
      </c>
      <c r="H62" s="49">
        <v>-57735</v>
      </c>
      <c r="I62" s="49">
        <v>-71873</v>
      </c>
      <c r="J62" s="49">
        <v>-63275</v>
      </c>
      <c r="K62" s="49">
        <v>0</v>
      </c>
      <c r="L62" s="51">
        <f t="shared" si="53"/>
        <v>0</v>
      </c>
      <c r="M62" s="49">
        <v>0</v>
      </c>
      <c r="N62" s="49">
        <v>0</v>
      </c>
      <c r="O62" s="49">
        <v>0</v>
      </c>
      <c r="P62" s="49">
        <v>0</v>
      </c>
      <c r="Q62" s="51">
        <f t="shared" si="54"/>
        <v>0</v>
      </c>
      <c r="R62" s="49">
        <v>0</v>
      </c>
      <c r="S62" s="49">
        <v>0</v>
      </c>
      <c r="T62" s="49">
        <v>0</v>
      </c>
      <c r="U62" s="49">
        <v>0</v>
      </c>
      <c r="V62" s="51">
        <f t="shared" si="55"/>
        <v>0</v>
      </c>
      <c r="W62" s="49">
        <v>0</v>
      </c>
      <c r="X62" s="49">
        <v>0</v>
      </c>
      <c r="Y62" s="49">
        <v>-39329</v>
      </c>
      <c r="Z62" s="49">
        <v>-89310</v>
      </c>
      <c r="AA62" s="51">
        <f t="shared" si="56"/>
        <v>-89310</v>
      </c>
      <c r="AB62" s="49">
        <v>-49500</v>
      </c>
      <c r="AC62" s="49">
        <v>101088</v>
      </c>
      <c r="AD62" s="49">
        <v>92221</v>
      </c>
      <c r="AE62" s="49">
        <v>80284</v>
      </c>
      <c r="AF62" s="51">
        <f t="shared" si="47"/>
        <v>80284</v>
      </c>
    </row>
    <row r="63" spans="1:75" x14ac:dyDescent="0.3">
      <c r="A63" s="1" t="s">
        <v>173</v>
      </c>
      <c r="B63" s="47" t="s">
        <v>174</v>
      </c>
      <c r="C63" s="49">
        <v>64951</v>
      </c>
      <c r="D63" s="49">
        <v>96185</v>
      </c>
      <c r="E63" s="49">
        <v>103494</v>
      </c>
      <c r="F63" s="49">
        <v>94057</v>
      </c>
      <c r="G63" s="51">
        <f t="shared" si="52"/>
        <v>94057</v>
      </c>
      <c r="H63" s="49">
        <v>111627</v>
      </c>
      <c r="I63" s="49">
        <v>100702</v>
      </c>
      <c r="J63" s="49">
        <v>196439</v>
      </c>
      <c r="K63" s="49">
        <v>150335</v>
      </c>
      <c r="L63" s="51">
        <f t="shared" si="53"/>
        <v>150335</v>
      </c>
      <c r="M63" s="49">
        <v>597260</v>
      </c>
      <c r="N63" s="49">
        <v>713624</v>
      </c>
      <c r="O63" s="49">
        <v>783746</v>
      </c>
      <c r="P63" s="49">
        <v>579820</v>
      </c>
      <c r="Q63" s="51">
        <f t="shared" si="54"/>
        <v>579820</v>
      </c>
      <c r="R63" s="49">
        <v>851426</v>
      </c>
      <c r="S63" s="49">
        <v>518373</v>
      </c>
      <c r="T63" s="49">
        <v>669847</v>
      </c>
      <c r="U63" s="49">
        <v>712338</v>
      </c>
      <c r="V63" s="51">
        <f t="shared" si="55"/>
        <v>712338</v>
      </c>
      <c r="W63" s="49">
        <v>-275672</v>
      </c>
      <c r="X63" s="49">
        <v>517614</v>
      </c>
      <c r="Y63" s="49">
        <v>820166</v>
      </c>
      <c r="Z63" s="49">
        <v>601773</v>
      </c>
      <c r="AA63" s="51">
        <f t="shared" si="56"/>
        <v>601773</v>
      </c>
      <c r="AB63" s="49">
        <v>281265</v>
      </c>
      <c r="AC63" s="49">
        <v>-237675</v>
      </c>
      <c r="AD63" s="49">
        <v>272333</v>
      </c>
      <c r="AE63" s="49">
        <v>-184660</v>
      </c>
      <c r="AF63" s="51">
        <f t="shared" si="47"/>
        <v>-184660</v>
      </c>
    </row>
    <row r="64" spans="1:75" x14ac:dyDescent="0.3">
      <c r="A64" s="1" t="s">
        <v>177</v>
      </c>
      <c r="B64" s="47" t="s">
        <v>178</v>
      </c>
      <c r="C64" s="49">
        <v>0</v>
      </c>
      <c r="D64" s="49">
        <v>0</v>
      </c>
      <c r="E64" s="49">
        <v>0</v>
      </c>
      <c r="F64" s="49">
        <v>0</v>
      </c>
      <c r="G64" s="51">
        <f t="shared" si="52"/>
        <v>0</v>
      </c>
      <c r="H64" s="49">
        <v>833</v>
      </c>
      <c r="I64" s="49">
        <v>1161</v>
      </c>
      <c r="J64" s="49">
        <v>1519</v>
      </c>
      <c r="K64" s="49">
        <v>759</v>
      </c>
      <c r="L64" s="51">
        <f t="shared" si="53"/>
        <v>759</v>
      </c>
      <c r="M64" s="49">
        <v>979</v>
      </c>
      <c r="N64" s="49">
        <v>993</v>
      </c>
      <c r="O64" s="49">
        <v>1031</v>
      </c>
      <c r="P64" s="49">
        <v>849</v>
      </c>
      <c r="Q64" s="51">
        <f t="shared" si="54"/>
        <v>849</v>
      </c>
      <c r="R64" s="49">
        <v>0</v>
      </c>
      <c r="S64" s="49">
        <v>0</v>
      </c>
      <c r="T64" s="49">
        <v>0</v>
      </c>
      <c r="U64" s="49">
        <v>0</v>
      </c>
      <c r="V64" s="51">
        <f t="shared" si="55"/>
        <v>0</v>
      </c>
      <c r="W64" s="49">
        <v>0</v>
      </c>
      <c r="X64" s="49">
        <v>0</v>
      </c>
      <c r="Y64" s="49">
        <v>0</v>
      </c>
      <c r="Z64" s="49">
        <v>0</v>
      </c>
      <c r="AA64" s="51">
        <f t="shared" si="56"/>
        <v>0</v>
      </c>
      <c r="AB64" s="49">
        <v>0</v>
      </c>
      <c r="AC64" s="49">
        <v>0</v>
      </c>
      <c r="AD64" s="49">
        <v>0</v>
      </c>
      <c r="AE64" s="49">
        <f t="shared" ref="AE62:BL64" si="82">AD64</f>
        <v>0</v>
      </c>
      <c r="AF64" s="51">
        <f t="shared" si="47"/>
        <v>0</v>
      </c>
    </row>
    <row r="66" spans="1:75" x14ac:dyDescent="0.3">
      <c r="A66" s="1" t="s">
        <v>1198</v>
      </c>
      <c r="B66" s="1" t="s">
        <v>551</v>
      </c>
      <c r="AG66" s="51">
        <f ca="1">'Fluxo de Caixa dos Acionistas'!AG73+'Fluxo de Caixa dos Acionistas'!AG75+'Fluxo de Caixa dos Acionistas'!AG76+'Fluxo de Caixa dos Acionistas'!AG78+'Fluxo de Caixa dos Acionistas'!AG77</f>
        <v>-5508606.7463562982</v>
      </c>
      <c r="AH66" s="51">
        <f ca="1">'Fluxo de Caixa dos Acionistas'!AH73+'Fluxo de Caixa dos Acionistas'!AH75+'Fluxo de Caixa dos Acionistas'!AH76+'Fluxo de Caixa dos Acionistas'!AH78+'Fluxo de Caixa dos Acionistas'!AH77</f>
        <v>-3062230.2820586246</v>
      </c>
      <c r="AI66" s="51">
        <f ca="1">'Fluxo de Caixa dos Acionistas'!AI73+'Fluxo de Caixa dos Acionistas'!AI75+'Fluxo de Caixa dos Acionistas'!AI76+'Fluxo de Caixa dos Acionistas'!AI78+'Fluxo de Caixa dos Acionistas'!AI77</f>
        <v>-2628476.3089609388</v>
      </c>
      <c r="AJ66" s="51">
        <f ca="1">'Fluxo de Caixa dos Acionistas'!AJ73+'Fluxo de Caixa dos Acionistas'!AJ75+'Fluxo de Caixa dos Acionistas'!AJ76+'Fluxo de Caixa dos Acionistas'!AJ78+'Fluxo de Caixa dos Acionistas'!AJ77</f>
        <v>-158155.41331629967</v>
      </c>
      <c r="AK66" s="51">
        <f ca="1">'Fluxo de Caixa dos Acionistas'!AK73+'Fluxo de Caixa dos Acionistas'!AK75+'Fluxo de Caixa dos Acionistas'!AK76+'Fluxo de Caixa dos Acionistas'!AK78+'Fluxo de Caixa dos Acionistas'!AK77</f>
        <v>778979.83077169769</v>
      </c>
      <c r="AL66" s="51">
        <f ca="1">'Fluxo de Caixa dos Acionistas'!AL73+'Fluxo de Caixa dos Acionistas'!AL75+'Fluxo de Caixa dos Acionistas'!AL76+'Fluxo de Caixa dos Acionistas'!AL78+'Fluxo de Caixa dos Acionistas'!AL77</f>
        <v>1170261.8865301907</v>
      </c>
      <c r="AM66" s="51">
        <f ca="1">'Fluxo de Caixa dos Acionistas'!AM73+'Fluxo de Caixa dos Acionistas'!AM75+'Fluxo de Caixa dos Acionistas'!AM76+'Fluxo de Caixa dos Acionistas'!AM78+'Fluxo de Caixa dos Acionistas'!AM77</f>
        <v>2866946.688190138</v>
      </c>
      <c r="AN66" s="51">
        <f ca="1">'Fluxo de Caixa dos Acionistas'!AN73+'Fluxo de Caixa dos Acionistas'!AN75+'Fluxo de Caixa dos Acionistas'!AN76+'Fluxo de Caixa dos Acionistas'!AN78+'Fluxo de Caixa dos Acionistas'!AN77</f>
        <v>2900807.5717697009</v>
      </c>
      <c r="AO66" s="51">
        <f ca="1">'Fluxo de Caixa dos Acionistas'!AO73+'Fluxo de Caixa dos Acionistas'!AO75+'Fluxo de Caixa dos Acionistas'!AO76+'Fluxo de Caixa dos Acionistas'!AO78+'Fluxo de Caixa dos Acionistas'!AO77</f>
        <v>2256499.3675372535</v>
      </c>
      <c r="AP66" s="51">
        <f ca="1">'Fluxo de Caixa dos Acionistas'!AP73+'Fluxo de Caixa dos Acionistas'!AP75+'Fluxo de Caixa dos Acionistas'!AP76+'Fluxo de Caixa dos Acionistas'!AP78+'Fluxo de Caixa dos Acionistas'!AP77</f>
        <v>1930437.4622269128</v>
      </c>
      <c r="AQ66" s="51">
        <f ca="1">'Fluxo de Caixa dos Acionistas'!AQ73+'Fluxo de Caixa dos Acionistas'!AQ75+'Fluxo de Caixa dos Acionistas'!AQ76+'Fluxo de Caixa dos Acionistas'!AQ78+'Fluxo de Caixa dos Acionistas'!AQ77</f>
        <v>1654010.2623896997</v>
      </c>
      <c r="AR66" s="51">
        <f ca="1">'Fluxo de Caixa dos Acionistas'!AR73+'Fluxo de Caixa dos Acionistas'!AR75+'Fluxo de Caixa dos Acionistas'!AR76+'Fluxo de Caixa dos Acionistas'!AR78+'Fluxo de Caixa dos Acionistas'!AR77</f>
        <v>1479595.3588418486</v>
      </c>
      <c r="AS66" s="51">
        <f ca="1">'Fluxo de Caixa dos Acionistas'!AS73+'Fluxo de Caixa dos Acionistas'!AS75+'Fluxo de Caixa dos Acionistas'!AS76+'Fluxo de Caixa dos Acionistas'!AS78+'Fluxo de Caixa dos Acionistas'!AS77</f>
        <v>1336177.9942191325</v>
      </c>
      <c r="AT66" s="51">
        <f ca="1">'Fluxo de Caixa dos Acionistas'!AT73+'Fluxo de Caixa dos Acionistas'!AT75+'Fluxo de Caixa dos Acionistas'!AT76+'Fluxo de Caixa dos Acionistas'!AT78+'Fluxo de Caixa dos Acionistas'!AT77</f>
        <v>1270774.7711569918</v>
      </c>
      <c r="AU66" s="51">
        <f ca="1">'Fluxo de Caixa dos Acionistas'!AU73+'Fluxo de Caixa dos Acionistas'!AU75+'Fluxo de Caixa dos Acionistas'!AU76+'Fluxo de Caixa dos Acionistas'!AU78+'Fluxo de Caixa dos Acionistas'!AU77</f>
        <v>1037552.5128658365</v>
      </c>
      <c r="AV66" s="51">
        <f ca="1">'Fluxo de Caixa dos Acionistas'!AV73+'Fluxo de Caixa dos Acionistas'!AV75+'Fluxo de Caixa dos Acionistas'!AV76+'Fluxo de Caixa dos Acionistas'!AV78+'Fluxo de Caixa dos Acionistas'!AV77</f>
        <v>809634.59757808642</v>
      </c>
      <c r="AW66" s="51">
        <f ca="1">'Fluxo de Caixa dos Acionistas'!AW73+'Fluxo de Caixa dos Acionistas'!AW75+'Fluxo de Caixa dos Acionistas'!AW76+'Fluxo de Caixa dos Acionistas'!AW78+'Fluxo de Caixa dos Acionistas'!AW77</f>
        <v>1005240.5291667838</v>
      </c>
      <c r="AX66" s="51">
        <f ca="1">'Fluxo de Caixa dos Acionistas'!AX73+'Fluxo de Caixa dos Acionistas'!AX75+'Fluxo de Caixa dos Acionistas'!AX76+'Fluxo de Caixa dos Acionistas'!AX78+'Fluxo de Caixa dos Acionistas'!AX77</f>
        <v>647780.83605008782</v>
      </c>
      <c r="AY66" s="51">
        <f ca="1">'Fluxo de Caixa dos Acionistas'!AY73+'Fluxo de Caixa dos Acionistas'!AY75+'Fluxo de Caixa dos Acionistas'!AY76+'Fluxo de Caixa dos Acionistas'!AY78+'Fluxo de Caixa dos Acionistas'!AY77</f>
        <v>568690.82023651316</v>
      </c>
      <c r="AZ66" s="51">
        <f ca="1">'Fluxo de Caixa dos Acionistas'!AZ73+'Fluxo de Caixa dos Acionistas'!AZ75+'Fluxo de Caixa dos Acionistas'!AZ76+'Fluxo de Caixa dos Acionistas'!AZ78+'Fluxo de Caixa dos Acionistas'!AZ77</f>
        <v>521250.62913514336</v>
      </c>
      <c r="BA66" s="51">
        <f ca="1">'Fluxo de Caixa dos Acionistas'!BA73+'Fluxo de Caixa dos Acionistas'!BA75+'Fluxo de Caixa dos Acionistas'!BA76+'Fluxo de Caixa dos Acionistas'!BA78+'Fluxo de Caixa dos Acionistas'!BA77</f>
        <v>439412.94343083235</v>
      </c>
      <c r="BB66" s="51">
        <f ca="1">'Fluxo de Caixa dos Acionistas'!BB73+'Fluxo de Caixa dos Acionistas'!BB75+'Fluxo de Caixa dos Acionistas'!BB76+'Fluxo de Caixa dos Acionistas'!BB78+'Fluxo de Caixa dos Acionistas'!BB77</f>
        <v>442617.62180542678</v>
      </c>
      <c r="BC66" s="51">
        <f ca="1">'Fluxo de Caixa dos Acionistas'!BC73+'Fluxo de Caixa dos Acionistas'!BC75+'Fluxo de Caixa dos Acionistas'!BC76+'Fluxo de Caixa dos Acionistas'!BC78+'Fluxo de Caixa dos Acionistas'!BC77</f>
        <v>375515.38448261289</v>
      </c>
      <c r="BD66" s="51">
        <f ca="1">'Fluxo de Caixa dos Acionistas'!BD73+'Fluxo de Caixa dos Acionistas'!BD75+'Fluxo de Caixa dos Acionistas'!BD76+'Fluxo de Caixa dos Acionistas'!BD78+'Fluxo de Caixa dos Acionistas'!BD77</f>
        <v>368713.00404761021</v>
      </c>
      <c r="BE66" s="51">
        <f ca="1">'Fluxo de Caixa dos Acionistas'!BE73+'Fluxo de Caixa dos Acionistas'!BE75+'Fluxo de Caixa dos Acionistas'!BE76+'Fluxo de Caixa dos Acionistas'!BE78+'Fluxo de Caixa dos Acionistas'!BE77</f>
        <v>357174.7049887465</v>
      </c>
      <c r="BF66" s="51">
        <f ca="1">'Fluxo de Caixa dos Acionistas'!BF73+'Fluxo de Caixa dos Acionistas'!BF75+'Fluxo de Caixa dos Acionistas'!BF76+'Fluxo de Caixa dos Acionistas'!BF78+'Fluxo de Caixa dos Acionistas'!BF77</f>
        <v>448231.79262759537</v>
      </c>
      <c r="BG66" s="51">
        <f ca="1">'Fluxo de Caixa dos Acionistas'!BG73+'Fluxo de Caixa dos Acionistas'!BG75+'Fluxo de Caixa dos Acionistas'!BG76+'Fluxo de Caixa dos Acionistas'!BG78+'Fluxo de Caixa dos Acionistas'!BG77</f>
        <v>768312.09838517359</v>
      </c>
      <c r="BH66" s="51">
        <f ca="1">'Fluxo de Caixa dos Acionistas'!BH73+'Fluxo de Caixa dos Acionistas'!BH75+'Fluxo de Caixa dos Acionistas'!BH76+'Fluxo de Caixa dos Acionistas'!BH78+'Fluxo de Caixa dos Acionistas'!BH77</f>
        <v>481890.1442027319</v>
      </c>
      <c r="BI66" s="51">
        <f ca="1">'Fluxo de Caixa dos Acionistas'!BI73+'Fluxo de Caixa dos Acionistas'!BI75+'Fluxo de Caixa dos Acionistas'!BI76+'Fluxo de Caixa dos Acionistas'!BI78+'Fluxo de Caixa dos Acionistas'!BI77</f>
        <v>321013.04356417467</v>
      </c>
      <c r="BJ66" s="51">
        <f ca="1">'Fluxo de Caixa dos Acionistas'!BJ73+'Fluxo de Caixa dos Acionistas'!BJ75+'Fluxo de Caixa dos Acionistas'!BJ76+'Fluxo de Caixa dos Acionistas'!BJ78+'Fluxo de Caixa dos Acionistas'!BJ77</f>
        <v>0</v>
      </c>
      <c r="BK66" s="51">
        <f ca="1">'Fluxo de Caixa dos Acionistas'!BK73+'Fluxo de Caixa dos Acionistas'!BK75+'Fluxo de Caixa dos Acionistas'!BK76+'Fluxo de Caixa dos Acionistas'!BK78+'Fluxo de Caixa dos Acionistas'!BK77</f>
        <v>0</v>
      </c>
      <c r="BL66" s="51">
        <f ca="1">'Fluxo de Caixa dos Acionistas'!BL73+'Fluxo de Caixa dos Acionistas'!BL75+'Fluxo de Caixa dos Acionistas'!BL76+'Fluxo de Caixa dos Acionistas'!BL78+'Fluxo de Caixa dos Acionistas'!BL77</f>
        <v>0</v>
      </c>
      <c r="BM66" s="51">
        <f ca="1">'Fluxo de Caixa dos Acionistas'!BM73+'Fluxo de Caixa dos Acionistas'!BM75+'Fluxo de Caixa dos Acionistas'!BM76+'Fluxo de Caixa dos Acionistas'!BM78+'Fluxo de Caixa dos Acionistas'!BM77</f>
        <v>0</v>
      </c>
      <c r="BN66" s="51">
        <f ca="1">'Fluxo de Caixa dos Acionistas'!BN73+'Fluxo de Caixa dos Acionistas'!BN75+'Fluxo de Caixa dos Acionistas'!BN76+'Fluxo de Caixa dos Acionistas'!BN78+'Fluxo de Caixa dos Acionistas'!BN77</f>
        <v>0</v>
      </c>
      <c r="BO66" s="51">
        <f ca="1">'Fluxo de Caixa dos Acionistas'!BO73+'Fluxo de Caixa dos Acionistas'!BO75+'Fluxo de Caixa dos Acionistas'!BO76+'Fluxo de Caixa dos Acionistas'!BO78+'Fluxo de Caixa dos Acionistas'!BO77</f>
        <v>0</v>
      </c>
      <c r="BP66" s="51">
        <f ca="1">'Fluxo de Caixa dos Acionistas'!BP73+'Fluxo de Caixa dos Acionistas'!BP75+'Fluxo de Caixa dos Acionistas'!BP76+'Fluxo de Caixa dos Acionistas'!BP78+'Fluxo de Caixa dos Acionistas'!BP77</f>
        <v>0</v>
      </c>
      <c r="BQ66" s="51">
        <f ca="1">'Fluxo de Caixa dos Acionistas'!BQ73+'Fluxo de Caixa dos Acionistas'!BQ75+'Fluxo de Caixa dos Acionistas'!BQ76+'Fluxo de Caixa dos Acionistas'!BQ78+'Fluxo de Caixa dos Acionistas'!BQ77</f>
        <v>0</v>
      </c>
      <c r="BR66" s="51">
        <f ca="1">'Fluxo de Caixa dos Acionistas'!BR73+'Fluxo de Caixa dos Acionistas'!BR75+'Fluxo de Caixa dos Acionistas'!BR76+'Fluxo de Caixa dos Acionistas'!BR78+'Fluxo de Caixa dos Acionistas'!BR77</f>
        <v>0</v>
      </c>
      <c r="BS66" s="51">
        <f ca="1">'Fluxo de Caixa dos Acionistas'!BS73+'Fluxo de Caixa dos Acionistas'!BS75+'Fluxo de Caixa dos Acionistas'!BS76+'Fluxo de Caixa dos Acionistas'!BS78+'Fluxo de Caixa dos Acionistas'!BS77</f>
        <v>0</v>
      </c>
      <c r="BT66" s="51">
        <f ca="1">'Fluxo de Caixa dos Acionistas'!BT73+'Fluxo de Caixa dos Acionistas'!BT75+'Fluxo de Caixa dos Acionistas'!BT76+'Fluxo de Caixa dos Acionistas'!BT78+'Fluxo de Caixa dos Acionistas'!BT77</f>
        <v>0</v>
      </c>
      <c r="BU66" s="51">
        <f ca="1">'Fluxo de Caixa dos Acionistas'!BU73+'Fluxo de Caixa dos Acionistas'!BU75+'Fluxo de Caixa dos Acionistas'!BU76+'Fluxo de Caixa dos Acionistas'!BU78+'Fluxo de Caixa dos Acionistas'!BU77</f>
        <v>0</v>
      </c>
      <c r="BV66" s="51">
        <f ca="1">'Fluxo de Caixa dos Acionistas'!BV73+'Fluxo de Caixa dos Acionistas'!BV75+'Fluxo de Caixa dos Acionistas'!BV76+'Fluxo de Caixa dos Acionistas'!BV78+'Fluxo de Caixa dos Acionistas'!BV77</f>
        <v>0</v>
      </c>
      <c r="BW66" s="51">
        <f ca="1">'Fluxo de Caixa dos Acionistas'!BW73+'Fluxo de Caixa dos Acionistas'!BW75+'Fluxo de Caixa dos Acionistas'!BW76+'Fluxo de Caixa dos Acionistas'!BW78+'Fluxo de Caixa dos Acionistas'!BW77</f>
        <v>0</v>
      </c>
    </row>
    <row r="67" spans="1:75" x14ac:dyDescent="0.3">
      <c r="A67" s="1" t="s">
        <v>1198</v>
      </c>
      <c r="B67" s="1" t="s">
        <v>1197</v>
      </c>
      <c r="AG67" s="51">
        <f ca="1">AG57-AF57</f>
        <v>5508612.6163562946</v>
      </c>
      <c r="AH67" s="51">
        <f t="shared" ref="AH67:BW67" ca="1" si="83">AH57-AG57</f>
        <v>3062230.2820586227</v>
      </c>
      <c r="AI67" s="51">
        <f t="shared" ca="1" si="83"/>
        <v>2628476.3089609481</v>
      </c>
      <c r="AJ67" s="51">
        <f t="shared" ca="1" si="83"/>
        <v>158155.41331629083</v>
      </c>
      <c r="AK67" s="51">
        <f t="shared" ca="1" si="83"/>
        <v>-778979.83077169582</v>
      </c>
      <c r="AL67" s="51">
        <f t="shared" ca="1" si="83"/>
        <v>-1170261.886530187</v>
      </c>
      <c r="AM67" s="51">
        <f t="shared" ca="1" si="83"/>
        <v>-2866946.6881901361</v>
      </c>
      <c r="AN67" s="51">
        <f t="shared" ca="1" si="83"/>
        <v>-2900807.5717697032</v>
      </c>
      <c r="AO67" s="51">
        <f t="shared" ca="1" si="83"/>
        <v>-2256499.3675372526</v>
      </c>
      <c r="AP67" s="51">
        <f t="shared" ca="1" si="83"/>
        <v>-1930437.4622269124</v>
      </c>
      <c r="AQ67" s="51">
        <f t="shared" ca="1" si="83"/>
        <v>-1654010.262389699</v>
      </c>
      <c r="AR67" s="51">
        <f t="shared" ca="1" si="83"/>
        <v>-1479595.3588418514</v>
      </c>
      <c r="AS67" s="51">
        <f t="shared" ca="1" si="83"/>
        <v>-1336177.9942191318</v>
      </c>
      <c r="AT67" s="51">
        <f t="shared" ca="1" si="83"/>
        <v>-1270774.771156989</v>
      </c>
      <c r="AU67" s="51">
        <f t="shared" ca="1" si="83"/>
        <v>-1037552.5128658377</v>
      </c>
      <c r="AV67" s="51">
        <f t="shared" ca="1" si="83"/>
        <v>-809634.59757808782</v>
      </c>
      <c r="AW67" s="51">
        <f t="shared" ca="1" si="83"/>
        <v>-1005240.5291667823</v>
      </c>
      <c r="AX67" s="51">
        <f t="shared" ca="1" si="83"/>
        <v>-647780.83605008852</v>
      </c>
      <c r="AY67" s="51">
        <f t="shared" ca="1" si="83"/>
        <v>-568690.82023651432</v>
      </c>
      <c r="AZ67" s="51">
        <f t="shared" ca="1" si="83"/>
        <v>-521250.62913514208</v>
      </c>
      <c r="BA67" s="51">
        <f t="shared" ca="1" si="83"/>
        <v>-439412.94343083259</v>
      </c>
      <c r="BB67" s="51">
        <f t="shared" ca="1" si="83"/>
        <v>-442617.6218054276</v>
      </c>
      <c r="BC67" s="51">
        <f t="shared" ca="1" si="83"/>
        <v>-375515.3844826119</v>
      </c>
      <c r="BD67" s="51">
        <f t="shared" ca="1" si="83"/>
        <v>-368713.0040476108</v>
      </c>
      <c r="BE67" s="51">
        <f t="shared" ca="1" si="83"/>
        <v>-357174.70498874597</v>
      </c>
      <c r="BF67" s="51">
        <f t="shared" ca="1" si="83"/>
        <v>-448231.79262759537</v>
      </c>
      <c r="BG67" s="51">
        <f t="shared" ca="1" si="83"/>
        <v>-768312.09838517429</v>
      </c>
      <c r="BH67" s="51">
        <f t="shared" ca="1" si="83"/>
        <v>-481890.14420273202</v>
      </c>
      <c r="BI67" s="51">
        <f t="shared" ca="1" si="83"/>
        <v>-321013.04356417432</v>
      </c>
      <c r="BJ67" s="51">
        <f ca="1">BJ57-BI57</f>
        <v>-585651.76449124049</v>
      </c>
      <c r="BK67" s="51">
        <f t="shared" ca="1" si="83"/>
        <v>0</v>
      </c>
      <c r="BL67" s="51">
        <f t="shared" ca="1" si="83"/>
        <v>0</v>
      </c>
      <c r="BM67" s="51">
        <f t="shared" ca="1" si="83"/>
        <v>0</v>
      </c>
      <c r="BN67" s="51">
        <f t="shared" ca="1" si="83"/>
        <v>0</v>
      </c>
      <c r="BO67" s="51">
        <f t="shared" ca="1" si="83"/>
        <v>0</v>
      </c>
      <c r="BP67" s="51">
        <f t="shared" ca="1" si="83"/>
        <v>0</v>
      </c>
      <c r="BQ67" s="51">
        <f t="shared" ca="1" si="83"/>
        <v>0</v>
      </c>
      <c r="BR67" s="51">
        <f t="shared" ca="1" si="83"/>
        <v>0</v>
      </c>
      <c r="BS67" s="51">
        <f t="shared" ca="1" si="83"/>
        <v>0</v>
      </c>
      <c r="BT67" s="51">
        <f t="shared" ca="1" si="83"/>
        <v>0</v>
      </c>
      <c r="BU67" s="51">
        <f t="shared" ca="1" si="83"/>
        <v>0</v>
      </c>
      <c r="BV67" s="51">
        <f t="shared" ca="1" si="83"/>
        <v>0</v>
      </c>
      <c r="BW67" s="51">
        <f t="shared" ca="1" si="83"/>
        <v>0</v>
      </c>
    </row>
    <row r="69" spans="1:75" s="211" customFormat="1" x14ac:dyDescent="0.3">
      <c r="A69" s="211" t="s">
        <v>538</v>
      </c>
      <c r="C69" s="213"/>
      <c r="D69" s="213"/>
      <c r="E69" s="213"/>
      <c r="F69" s="213"/>
      <c r="G69" s="213"/>
      <c r="H69" s="213"/>
      <c r="I69" s="213"/>
      <c r="J69" s="213"/>
      <c r="K69" s="213"/>
      <c r="L69" s="213"/>
      <c r="M69" s="213"/>
      <c r="N69" s="213"/>
      <c r="O69" s="213"/>
      <c r="P69" s="213"/>
      <c r="Q69" s="213"/>
      <c r="R69" s="213"/>
      <c r="S69" s="213"/>
      <c r="T69" s="213"/>
      <c r="U69" s="213"/>
      <c r="V69" s="213"/>
      <c r="W69" s="213"/>
      <c r="X69" s="213"/>
      <c r="Y69" s="213"/>
      <c r="Z69" s="213"/>
      <c r="AA69" s="213"/>
      <c r="AB69" s="213"/>
      <c r="AC69" s="213"/>
    </row>
    <row r="71" spans="1:75" x14ac:dyDescent="0.3">
      <c r="B71" s="1" t="s">
        <v>539</v>
      </c>
      <c r="C71" s="51">
        <f>-(C21+C23-C43-C44)</f>
        <v>-43805</v>
      </c>
      <c r="D71" s="51">
        <f>-(D21+D23-D43-D44)</f>
        <v>-36053</v>
      </c>
      <c r="E71" s="51">
        <f>-(E21+E23-E43-E44)</f>
        <v>-20887</v>
      </c>
      <c r="F71" s="51">
        <f>-(F21+F23-F43-F44)</f>
        <v>-5049</v>
      </c>
      <c r="G71" s="48">
        <f>-(G21+G23-G43-G44)</f>
        <v>-5049</v>
      </c>
      <c r="H71" s="51">
        <f>-(H21+H23-H43-H44)</f>
        <v>-45840</v>
      </c>
      <c r="I71" s="51">
        <f>-(I21+I23-I43-I44)</f>
        <v>29524</v>
      </c>
      <c r="J71" s="51">
        <f>-(J21+J23-J43-J44)</f>
        <v>-48796</v>
      </c>
      <c r="K71" s="51">
        <f>-(K21+K23-K43-K44)</f>
        <v>-373481</v>
      </c>
      <c r="L71" s="48">
        <f>-(L21+L23-L43-L44)</f>
        <v>-373481</v>
      </c>
      <c r="M71" s="51">
        <f>-(M21+M23-M43-M44)</f>
        <v>-221039</v>
      </c>
      <c r="N71" s="51">
        <f>-(N21+N23-N43-N44)</f>
        <v>-269913</v>
      </c>
      <c r="O71" s="51">
        <f>-(O21+O23-O43-O44)</f>
        <v>-190916</v>
      </c>
      <c r="P71" s="51">
        <f>-(P21+P23-P43-P44)</f>
        <v>-289085</v>
      </c>
      <c r="Q71" s="48">
        <f>-(Q21+Q23-Q43-Q44)</f>
        <v>-289085</v>
      </c>
      <c r="R71" s="51">
        <f>-(R21+R23-R43-R44)</f>
        <v>-257724</v>
      </c>
      <c r="S71" s="51">
        <f>-(S21+S23-S43-S44)</f>
        <v>-484663</v>
      </c>
      <c r="T71" s="51">
        <f>-(T21+T23-T43-T44)</f>
        <v>-365750</v>
      </c>
      <c r="U71" s="51">
        <f>-(U21+U23-U43-U44)</f>
        <v>-708890</v>
      </c>
      <c r="V71" s="48">
        <f>-(V21+V23-V43-V44)</f>
        <v>-708890</v>
      </c>
      <c r="W71" s="51">
        <f>-(W21+W23-W43-W44)</f>
        <v>-751793</v>
      </c>
      <c r="X71" s="51">
        <f>-(X21+X23-X43-X44)</f>
        <v>-720238</v>
      </c>
      <c r="Y71" s="51">
        <f>-(Y21+Y23-Y43-Y44)</f>
        <v>-955133</v>
      </c>
      <c r="Z71" s="51">
        <f>-(Z21+Z23-Z43-Z44)</f>
        <v>84200</v>
      </c>
      <c r="AA71" s="48">
        <f>-(AA21+AA23-AA43-AA44)</f>
        <v>84200</v>
      </c>
      <c r="AB71" s="51">
        <f>-(AB21+AB23-AB43-AB44)</f>
        <v>-2060140</v>
      </c>
      <c r="AC71" s="51">
        <f>-(AC21+AC23-AC43-AC44)</f>
        <v>-1148832</v>
      </c>
      <c r="AD71" s="51">
        <f>-(AD21+AD23-AD43-AD44)</f>
        <v>-1439231</v>
      </c>
      <c r="AE71" s="51">
        <f>-(AE21+AE23-AE43-AE44)</f>
        <v>-1293471</v>
      </c>
      <c r="AF71" s="48">
        <f>-(AF21+AF23-AF43-AF44)</f>
        <v>-1293471</v>
      </c>
      <c r="AG71" s="48">
        <f ca="1">-(AG21+AG23-AG43-AG44)</f>
        <v>-2376079.5989700174</v>
      </c>
      <c r="AH71" s="48">
        <f ca="1">-(AH21+AH23-AH43-AH44)</f>
        <v>-2956560.9411590844</v>
      </c>
      <c r="AI71" s="48">
        <f ca="1">-(AI21+AI23-AI43-AI44)</f>
        <v>-2922166.755963916</v>
      </c>
      <c r="AJ71" s="48">
        <f ca="1">-(AJ21+AJ23-AJ43-AJ44)</f>
        <v>-2937923.2554646195</v>
      </c>
      <c r="AK71" s="48">
        <f ca="1">-(AK21+AK23-AK43-AK44)</f>
        <v>-2737402.2762872158</v>
      </c>
      <c r="AL71" s="48">
        <f ca="1">-(AL21+AL23-AL43-AL44)</f>
        <v>-2723871.4753118753</v>
      </c>
      <c r="AM71" s="48">
        <f ca="1">-(AM21+AM23-AM43-AM44)</f>
        <v>-2435914.648139949</v>
      </c>
      <c r="AN71" s="48">
        <f ca="1">-(AN21+AN23-AN43-AN44)</f>
        <v>-2032239.0814238912</v>
      </c>
      <c r="AO71" s="48">
        <f ca="1">-(AO21+AO23-AO43-AO44)</f>
        <v>-1787854.8203360469</v>
      </c>
      <c r="AP71" s="48">
        <f ca="1">-(AP21+AP23-AP43-AP44)</f>
        <v>-1591191.3997342871</v>
      </c>
      <c r="AQ71" s="48">
        <f ca="1">-(AQ21+AQ23-AQ43-AQ44)</f>
        <v>-1422733.262711003</v>
      </c>
      <c r="AR71" s="48">
        <f ca="1">-(AR21+AR23-AR43-AR44)</f>
        <v>-1250877.0068454794</v>
      </c>
      <c r="AS71" s="48">
        <f ca="1">-(AS21+AS23-AS43-AS44)</f>
        <v>-1074816.5812128054</v>
      </c>
      <c r="AT71" s="48">
        <f ca="1">-(AT21+AT23-AT43-AT44)</f>
        <v>-927475.2769228192</v>
      </c>
      <c r="AU71" s="48">
        <f ca="1">-(AU21+AU23-AU43-AU44)</f>
        <v>-819743.02627993736</v>
      </c>
      <c r="AV71" s="48">
        <f ca="1">-(AV21+AV23-AV43-AV44)</f>
        <v>-737517.44374985248</v>
      </c>
      <c r="AW71" s="48">
        <f ca="1">-(AW21+AW23-AW43-AW44)</f>
        <v>-548203.23896657547</v>
      </c>
      <c r="AX71" s="48">
        <f ca="1">-(AX21+AX23-AX43-AX44)</f>
        <v>-469758.344480181</v>
      </c>
      <c r="AY71" s="48">
        <f ca="1">-(AY21+AY23-AY43-AY44)</f>
        <v>-399970.57504536083</v>
      </c>
      <c r="AZ71" s="48">
        <f ca="1">-(AZ21+AZ23-AZ43-AZ44)</f>
        <v>-333979.1326085201</v>
      </c>
      <c r="BA71" s="48">
        <f ca="1">-(BA21+BA23-BA43-BA44)</f>
        <v>-282151.85235195275</v>
      </c>
      <c r="BB71" s="48">
        <f ca="1">-(BB21+BB23-BB43-BB44)</f>
        <v>-225217.50490128115</v>
      </c>
      <c r="BC71" s="48">
        <f ca="1">-(BC21+BC23-BC43-BC44)</f>
        <v>-192432.46561031518</v>
      </c>
      <c r="BD71" s="48">
        <f ca="1">-(BD21+BD23-BD43-BD44)</f>
        <v>-166827.16388952816</v>
      </c>
      <c r="BE71" s="48">
        <f ca="1">-(BE21+BE23-BE43-BE44)</f>
        <v>-144626.84627550497</v>
      </c>
      <c r="BF71" s="48">
        <f ca="1">-(BF21+BF23-BF43-BF44)</f>
        <v>-105063.00523624849</v>
      </c>
      <c r="BG71" s="48">
        <f ca="1">-(BG21+BG23-BG43-BG44)</f>
        <v>-82512.685352213535</v>
      </c>
      <c r="BH71" s="48">
        <f ca="1">-(BH21+BH23-BH43-BH44)</f>
        <v>-68296.365026882908</v>
      </c>
      <c r="BI71" s="48">
        <f ca="1">-(BI21+BI23-BI43-BI44)</f>
        <v>50520.612684404186</v>
      </c>
      <c r="BJ71" s="48">
        <f ca="1">-(BJ21+BJ23-BJ43-BJ44)</f>
        <v>266893</v>
      </c>
      <c r="BK71" s="48">
        <f ca="1">-(BK21+BK23-BK43-BK44)</f>
        <v>266893</v>
      </c>
      <c r="BL71" s="48">
        <f ca="1">-(BL21+BL23-BL43-BL44)</f>
        <v>266893</v>
      </c>
      <c r="BM71" s="48">
        <f ca="1">-(BM21+BM23-BM43-BM44)</f>
        <v>266893</v>
      </c>
      <c r="BN71" s="48">
        <f ca="1">-(BN21+BN23-BN43-BN44)</f>
        <v>266893</v>
      </c>
      <c r="BO71" s="48">
        <f ca="1">-(BO21+BO23-BO43-BO44)</f>
        <v>266893</v>
      </c>
      <c r="BP71" s="48">
        <f ca="1">-(BP21+BP23-BP43-BP44)</f>
        <v>266893</v>
      </c>
      <c r="BQ71" s="48">
        <f ca="1">-(BQ21+BQ23-BQ43-BQ44)</f>
        <v>266893</v>
      </c>
      <c r="BR71" s="48">
        <f ca="1">-(BR21+BR23-BR43-BR44)</f>
        <v>266893</v>
      </c>
      <c r="BS71" s="48">
        <f ca="1">-(BS21+BS23-BS43-BS44)</f>
        <v>266893</v>
      </c>
      <c r="BT71" s="48">
        <f ca="1">-(BT21+BT23-BT43-BT44)</f>
        <v>266893</v>
      </c>
      <c r="BU71" s="48">
        <f ca="1">-(BU21+BU23-BU43-BU44)</f>
        <v>266893</v>
      </c>
      <c r="BV71" s="48">
        <f ca="1">-(BV21+BV23-BV43-BV44)</f>
        <v>266893</v>
      </c>
      <c r="BW71" s="48">
        <f ca="1">-(BW21+BW23-BW43-BW44)</f>
        <v>266893</v>
      </c>
    </row>
    <row r="72" spans="1:75" x14ac:dyDescent="0.3">
      <c r="B72" s="64" t="s">
        <v>546</v>
      </c>
      <c r="D72" s="51">
        <f>D71-C71</f>
        <v>7752</v>
      </c>
      <c r="E72" s="51">
        <f>E71-D71</f>
        <v>15166</v>
      </c>
      <c r="F72" s="51">
        <f>F71-E71</f>
        <v>15838</v>
      </c>
      <c r="H72" s="51">
        <f>H71-G71</f>
        <v>-40791</v>
      </c>
      <c r="I72" s="51">
        <f>I71-H71</f>
        <v>75364</v>
      </c>
      <c r="J72" s="51">
        <f>J71-I71</f>
        <v>-78320</v>
      </c>
      <c r="K72" s="51">
        <f>K71-J71</f>
        <v>-324685</v>
      </c>
      <c r="L72" s="48">
        <f>L71-G71</f>
        <v>-368432</v>
      </c>
      <c r="M72" s="51">
        <f>M71-L71</f>
        <v>152442</v>
      </c>
      <c r="N72" s="51">
        <f>N71-M71</f>
        <v>-48874</v>
      </c>
      <c r="O72" s="51">
        <f>O71-N71</f>
        <v>78997</v>
      </c>
      <c r="P72" s="51">
        <f>P71-O71</f>
        <v>-98169</v>
      </c>
      <c r="Q72" s="48">
        <f>Q71-L71</f>
        <v>84396</v>
      </c>
      <c r="R72" s="51">
        <f>R71-Q71</f>
        <v>31361</v>
      </c>
      <c r="S72" s="51">
        <f>S71-R71</f>
        <v>-226939</v>
      </c>
      <c r="T72" s="51">
        <f>T71-S71</f>
        <v>118913</v>
      </c>
      <c r="U72" s="51">
        <f>U71-T71</f>
        <v>-343140</v>
      </c>
      <c r="V72" s="48">
        <f>V71-Q71</f>
        <v>-419805</v>
      </c>
      <c r="W72" s="51">
        <f>W71-V71</f>
        <v>-42903</v>
      </c>
      <c r="X72" s="51">
        <f>X71-W71</f>
        <v>31555</v>
      </c>
      <c r="Y72" s="51">
        <f>Y71-X71</f>
        <v>-234895</v>
      </c>
      <c r="Z72" s="51">
        <f>Z71-Y71</f>
        <v>1039333</v>
      </c>
      <c r="AA72" s="48">
        <f>AA71-V71</f>
        <v>793090</v>
      </c>
      <c r="AB72" s="51">
        <f>AB71-AA71</f>
        <v>-2144340</v>
      </c>
      <c r="AC72" s="51">
        <f>AC71-AB71</f>
        <v>911308</v>
      </c>
      <c r="AD72" s="51">
        <f>AD71-AC71</f>
        <v>-290399</v>
      </c>
      <c r="AE72" s="51">
        <f>AE71-AD71</f>
        <v>145760</v>
      </c>
      <c r="AF72" s="48">
        <f>AF71-AA71</f>
        <v>-1377671</v>
      </c>
      <c r="AG72" s="48">
        <f t="shared" ref="AG72:BW72" ca="1" si="84">AG71-AF71</f>
        <v>-1082608.5989700174</v>
      </c>
      <c r="AH72" s="48">
        <f t="shared" ca="1" si="84"/>
        <v>-580481.34218906704</v>
      </c>
      <c r="AI72" s="48">
        <f t="shared" ca="1" si="84"/>
        <v>34394.18519516848</v>
      </c>
      <c r="AJ72" s="48">
        <f t="shared" ca="1" si="84"/>
        <v>-15756.499500703532</v>
      </c>
      <c r="AK72" s="48">
        <f t="shared" ca="1" si="84"/>
        <v>200520.97917740373</v>
      </c>
      <c r="AL72" s="48">
        <f t="shared" ca="1" si="84"/>
        <v>13530.800975340419</v>
      </c>
      <c r="AM72" s="48">
        <f t="shared" ca="1" si="84"/>
        <v>287956.82717192639</v>
      </c>
      <c r="AN72" s="48">
        <f t="shared" ca="1" si="84"/>
        <v>403675.56671605771</v>
      </c>
      <c r="AO72" s="48">
        <f t="shared" ca="1" si="84"/>
        <v>244384.26108784438</v>
      </c>
      <c r="AP72" s="48">
        <f t="shared" ca="1" si="84"/>
        <v>196663.4206017598</v>
      </c>
      <c r="AQ72" s="48">
        <f t="shared" ca="1" si="84"/>
        <v>168458.1370232841</v>
      </c>
      <c r="AR72" s="48">
        <f t="shared" ca="1" si="84"/>
        <v>171856.25586552359</v>
      </c>
      <c r="AS72" s="48">
        <f t="shared" ca="1" si="84"/>
        <v>176060.42563267401</v>
      </c>
      <c r="AT72" s="48">
        <f t="shared" ca="1" si="84"/>
        <v>147341.30428998615</v>
      </c>
      <c r="AU72" s="48">
        <f t="shared" ca="1" si="84"/>
        <v>107732.25064288185</v>
      </c>
      <c r="AV72" s="48">
        <f t="shared" ca="1" si="84"/>
        <v>82225.582530084881</v>
      </c>
      <c r="AW72" s="48">
        <f t="shared" ca="1" si="84"/>
        <v>189314.204783277</v>
      </c>
      <c r="AX72" s="48">
        <f t="shared" ca="1" si="84"/>
        <v>78444.894486394478</v>
      </c>
      <c r="AY72" s="48">
        <f t="shared" ca="1" si="84"/>
        <v>69787.769434820162</v>
      </c>
      <c r="AZ72" s="48">
        <f t="shared" ca="1" si="84"/>
        <v>65991.442436840734</v>
      </c>
      <c r="BA72" s="48">
        <f t="shared" ca="1" si="84"/>
        <v>51827.280256567348</v>
      </c>
      <c r="BB72" s="48">
        <f t="shared" ca="1" si="84"/>
        <v>56934.347450671601</v>
      </c>
      <c r="BC72" s="48">
        <f t="shared" ca="1" si="84"/>
        <v>32785.039290965971</v>
      </c>
      <c r="BD72" s="48">
        <f t="shared" ca="1" si="84"/>
        <v>25605.301720787014</v>
      </c>
      <c r="BE72" s="48">
        <f t="shared" ca="1" si="84"/>
        <v>22200.317614023195</v>
      </c>
      <c r="BF72" s="48">
        <f t="shared" ca="1" si="84"/>
        <v>39563.841039256484</v>
      </c>
      <c r="BG72" s="48">
        <f t="shared" ca="1" si="84"/>
        <v>22550.319884034951</v>
      </c>
      <c r="BH72" s="48">
        <f t="shared" ca="1" si="84"/>
        <v>14216.320325330627</v>
      </c>
      <c r="BI72" s="48">
        <f t="shared" ca="1" si="84"/>
        <v>118816.97771128709</v>
      </c>
      <c r="BJ72" s="48">
        <f t="shared" ca="1" si="84"/>
        <v>216372.38731559581</v>
      </c>
      <c r="BK72" s="48">
        <f t="shared" ca="1" si="84"/>
        <v>0</v>
      </c>
      <c r="BL72" s="48">
        <f t="shared" ca="1" si="84"/>
        <v>0</v>
      </c>
      <c r="BM72" s="48">
        <f t="shared" ca="1" si="84"/>
        <v>0</v>
      </c>
      <c r="BN72" s="48">
        <f t="shared" ca="1" si="84"/>
        <v>0</v>
      </c>
      <c r="BO72" s="48">
        <f t="shared" ca="1" si="84"/>
        <v>0</v>
      </c>
      <c r="BP72" s="48">
        <f t="shared" ca="1" si="84"/>
        <v>0</v>
      </c>
      <c r="BQ72" s="48">
        <f t="shared" ca="1" si="84"/>
        <v>0</v>
      </c>
      <c r="BR72" s="48">
        <f t="shared" ca="1" si="84"/>
        <v>0</v>
      </c>
      <c r="BS72" s="48">
        <f t="shared" ca="1" si="84"/>
        <v>0</v>
      </c>
      <c r="BT72" s="48">
        <f t="shared" ca="1" si="84"/>
        <v>0</v>
      </c>
      <c r="BU72" s="48">
        <f t="shared" ca="1" si="84"/>
        <v>0</v>
      </c>
      <c r="BV72" s="48">
        <f t="shared" ca="1" si="84"/>
        <v>0</v>
      </c>
      <c r="BW72" s="48">
        <f t="shared" ca="1" si="84"/>
        <v>0</v>
      </c>
    </row>
    <row r="73" spans="1:75" x14ac:dyDescent="0.3">
      <c r="B73" s="1" t="s">
        <v>540</v>
      </c>
      <c r="C73" s="51">
        <f>-(C25+C26+C29-C46-C49-C50-C54-C55-C56)</f>
        <v>-992</v>
      </c>
      <c r="D73" s="51">
        <f>-(D25+D26+D29-D46-D49-D50-D54-D55-D56)</f>
        <v>18285</v>
      </c>
      <c r="E73" s="51">
        <f>-(E25+E26+E29-E46-E49-E50-E54-E55-E56)</f>
        <v>32723</v>
      </c>
      <c r="F73" s="51">
        <f>-(F25+F26+F29-F46-F49-F50-F54-F55-F56)</f>
        <v>-9940</v>
      </c>
      <c r="G73" s="51">
        <f>-(G25+G26+G29-G46-G49-G50-G54-G55-G56)</f>
        <v>-9940</v>
      </c>
      <c r="H73" s="51">
        <f>-(H25+H26+H29-H46-H49-H50-H54-H55-H56)</f>
        <v>1667893</v>
      </c>
      <c r="I73" s="51">
        <f>-(I25+I26+I29-I46-I49-I50-I54-I55-I56)</f>
        <v>1485880</v>
      </c>
      <c r="J73" s="51">
        <f>-(J25+J26+J29-J46-J49-J50-J54-J55-J56)</f>
        <v>1609398</v>
      </c>
      <c r="K73" s="51">
        <f>-(K25+K26+K29-K46-K49-K50-K54-K55-K56)</f>
        <v>580353</v>
      </c>
      <c r="L73" s="51">
        <f>-(L25+L26+L29-L46-L49-L50-L54-L55-L56)</f>
        <v>580353</v>
      </c>
      <c r="M73" s="51">
        <f>-(M25+M26+M29-M46-M49-M50-M54-M55-M56)</f>
        <v>630238</v>
      </c>
      <c r="N73" s="51">
        <f>-(N25+N26+N29-N46-N49-N50-N54-N55-N56)</f>
        <v>644138</v>
      </c>
      <c r="O73" s="51">
        <f>-(O25+O26+O29-O46-O49-O50-O54-O55-O56)</f>
        <v>960427</v>
      </c>
      <c r="P73" s="51">
        <f>-(P25+P26+P29-P46-P49-P50-P54-P55-P56)</f>
        <v>398387</v>
      </c>
      <c r="Q73" s="51">
        <f>-(Q25+Q26+Q29-Q46-Q49-Q50-Q54-Q55-Q56)</f>
        <v>398387</v>
      </c>
      <c r="R73" s="51">
        <f>-(R25+R26+R29-R46-R49-R50-R54-R55-R56)</f>
        <v>632709</v>
      </c>
      <c r="S73" s="51">
        <f>-(S25+S26+S29-S46-S49-S50-S54-S55-S56)</f>
        <v>682159</v>
      </c>
      <c r="T73" s="51">
        <f>-(T25+T26+T29-T46-T49-T50-T54-T55-T56)</f>
        <v>1097207</v>
      </c>
      <c r="U73" s="51">
        <f>-(U25+U26+U29-U46-U49-U50-U54-U55-U56)</f>
        <v>782713</v>
      </c>
      <c r="V73" s="51">
        <f>-(V25+V26+V29-V46-V49-V50-V54-V55-V56)</f>
        <v>782713</v>
      </c>
      <c r="W73" s="51">
        <f>-(W25+W26+W29-W46-W49-W50-W54-W55-W56)</f>
        <v>166230</v>
      </c>
      <c r="X73" s="51">
        <f>-(X25+X26+X29-X46-X49-X50-X54-X55-X56)</f>
        <v>238027</v>
      </c>
      <c r="Y73" s="51">
        <f>-(Y25+Y26+Y29-Y46-Y49-Y50-Y54-Y55-Y56)</f>
        <v>453750</v>
      </c>
      <c r="Z73" s="51">
        <f>-(Z25+Z26+Z29-Z46-Z49-Z50-Z54-Z55-Z56)</f>
        <v>-332762</v>
      </c>
      <c r="AA73" s="51">
        <f>-(AA25+AA26+AA29-AA46-AA49-AA50-AA54-AA55-AA56)</f>
        <v>-332762</v>
      </c>
      <c r="AB73" s="51">
        <f>-(AB25+AB26+AB29-AB46-AB49-AB50-AB54-AB55-AB56)</f>
        <v>2926054</v>
      </c>
      <c r="AC73" s="51">
        <f>-(AC25+AC26+AC29-AC46-AC49-AC50-AC54-AC55-AC56)</f>
        <v>2944798</v>
      </c>
      <c r="AD73" s="51">
        <f>-(AD25+AD26+AD29-AD46-AD49-AD50-AD54-AD55-AD56)</f>
        <v>3410218</v>
      </c>
      <c r="AE73" s="51">
        <f>-(AE25+AE26+AE29-AE46-AE49-AE50-AE54-AE55-AE56)</f>
        <v>2775091</v>
      </c>
      <c r="AF73" s="51">
        <f>-(AF25+AF26+AF29-AF46-AF49-AF50-AF54-AF55-AF56)</f>
        <v>2775091</v>
      </c>
      <c r="AG73" s="51">
        <f>-(AG25+AG26+AG29-AG46-AG49-AG50-AG54-AG55-AG56)</f>
        <v>1699903</v>
      </c>
      <c r="AH73" s="51">
        <f>-(AH25+AH26+AH29-AH46-AH49-AH50-AH54-AH55-AH56)</f>
        <v>1699903</v>
      </c>
      <c r="AI73" s="51">
        <f>-(AI25+AI26+AI29-AI46-AI49-AI50-AI54-AI55-AI56)</f>
        <v>1699903</v>
      </c>
      <c r="AJ73" s="51">
        <f>-(AJ25+AJ26+AJ29-AJ46-AJ49-AJ50-AJ54-AJ55-AJ56)</f>
        <v>1699903</v>
      </c>
      <c r="AK73" s="51">
        <f>-(AK25+AK26+AK29-AK46-AK49-AK50-AK54-AK55-AK56)</f>
        <v>1699903</v>
      </c>
      <c r="AL73" s="51">
        <f>-(AL25+AL26+AL29-AL46-AL49-AL50-AL54-AL55-AL56)</f>
        <v>1699903</v>
      </c>
      <c r="AM73" s="51">
        <f>-(AM25+AM26+AM29-AM46-AM49-AM50-AM54-AM55-AM56)</f>
        <v>1699903</v>
      </c>
      <c r="AN73" s="51">
        <f>-(AN25+AN26+AN29-AN46-AN49-AN50-AN54-AN55-AN56)</f>
        <v>1699903</v>
      </c>
      <c r="AO73" s="51">
        <f>-(AO25+AO26+AO29-AO46-AO49-AO50-AO54-AO55-AO56)</f>
        <v>1699903</v>
      </c>
      <c r="AP73" s="51">
        <f>-(AP25+AP26+AP29-AP46-AP49-AP50-AP54-AP55-AP56)</f>
        <v>1699903</v>
      </c>
      <c r="AQ73" s="51">
        <f>-(AQ25+AQ26+AQ29-AQ46-AQ49-AQ50-AQ54-AQ55-AQ56)</f>
        <v>1699903</v>
      </c>
      <c r="AR73" s="51">
        <f>-(AR25+AR26+AR29-AR46-AR49-AR50-AR54-AR55-AR56)</f>
        <v>1699903</v>
      </c>
      <c r="AS73" s="51">
        <f>-(AS25+AS26+AS29-AS46-AS49-AS50-AS54-AS55-AS56)</f>
        <v>1699903</v>
      </c>
      <c r="AT73" s="51">
        <f>-(AT25+AT26+AT29-AT46-AT49-AT50-AT54-AT55-AT56)</f>
        <v>1699903</v>
      </c>
      <c r="AU73" s="51">
        <f>-(AU25+AU26+AU29-AU46-AU49-AU50-AU54-AU55-AU56)</f>
        <v>1699903</v>
      </c>
      <c r="AV73" s="51">
        <f>-(AV25+AV26+AV29-AV46-AV49-AV50-AV54-AV55-AV56)</f>
        <v>1699903</v>
      </c>
      <c r="AW73" s="51">
        <f>-(AW25+AW26+AW29-AW46-AW49-AW50-AW54-AW55-AW56)</f>
        <v>1699903</v>
      </c>
      <c r="AX73" s="51">
        <f>-(AX25+AX26+AX29-AX46-AX49-AX50-AX54-AX55-AX56)</f>
        <v>1699903</v>
      </c>
      <c r="AY73" s="51">
        <f>-(AY25+AY26+AY29-AY46-AY49-AY50-AY54-AY55-AY56)</f>
        <v>1699903</v>
      </c>
      <c r="AZ73" s="51">
        <f>-(AZ25+AZ26+AZ29-AZ46-AZ49-AZ50-AZ54-AZ55-AZ56)</f>
        <v>1699903</v>
      </c>
      <c r="BA73" s="51">
        <f>-(BA25+BA26+BA29-BA46-BA49-BA50-BA54-BA55-BA56)</f>
        <v>1699903</v>
      </c>
      <c r="BB73" s="51">
        <f>-(BB25+BB26+BB29-BB46-BB49-BB50-BB54-BB55-BB56)</f>
        <v>1699903</v>
      </c>
      <c r="BC73" s="51">
        <f>-(BC25+BC26+BC29-BC46-BC49-BC50-BC54-BC55-BC56)</f>
        <v>1699903</v>
      </c>
      <c r="BD73" s="51">
        <f>-(BD25+BD26+BD29-BD46-BD49-BD50-BD54-BD55-BD56)</f>
        <v>1699903</v>
      </c>
      <c r="BE73" s="51">
        <f>-(BE25+BE26+BE29-BE46-BE49-BE50-BE54-BE55-BE56)</f>
        <v>1699903</v>
      </c>
      <c r="BF73" s="51">
        <f>-(BF25+BF26+BF29-BF46-BF49-BF50-BF54-BF55-BF56)</f>
        <v>1699903</v>
      </c>
      <c r="BG73" s="51">
        <f>-(BG25+BG26+BG29-BG46-BG49-BG50-BG54-BG55-BG56)</f>
        <v>1699903</v>
      </c>
      <c r="BH73" s="51">
        <f>-(BH25+BH26+BH29-BH46-BH49-BH50-BH54-BH55-BH56)</f>
        <v>1699903</v>
      </c>
      <c r="BI73" s="51">
        <f>-(BI25+BI26+BI29-BI46-BI49-BI50-BI54-BI55-BI56)</f>
        <v>1699903</v>
      </c>
      <c r="BJ73" s="51">
        <f>-(BJ25+BJ26+BJ29-BJ46-BJ49-BJ50-BJ54-BJ55-BJ56)</f>
        <v>1699903</v>
      </c>
      <c r="BK73" s="51">
        <f>-(BK25+BK26+BK29-BK46-BK49-BK50-BK54-BK55-BK56)</f>
        <v>1699903</v>
      </c>
      <c r="BL73" s="51">
        <f>-(BL25+BL26+BL29-BL46-BL49-BL50-BL54-BL55-BL56)</f>
        <v>1699903</v>
      </c>
      <c r="BM73" s="51">
        <f>-(BM25+BM26+BM29-BM46-BM49-BM50-BM54-BM55-BM56)</f>
        <v>1699903</v>
      </c>
      <c r="BN73" s="51">
        <f>-(BN25+BN26+BN29-BN46-BN49-BN50-BN54-BN55-BN56)</f>
        <v>1699903</v>
      </c>
      <c r="BO73" s="51">
        <f>-(BO25+BO26+BO29-BO46-BO49-BO50-BO54-BO55-BO56)</f>
        <v>1699903</v>
      </c>
      <c r="BP73" s="51">
        <f>-(BP25+BP26+BP29-BP46-BP49-BP50-BP54-BP55-BP56)</f>
        <v>1699903</v>
      </c>
      <c r="BQ73" s="51">
        <f>-(BQ25+BQ26+BQ29-BQ46-BQ49-BQ50-BQ54-BQ55-BQ56)</f>
        <v>1699903</v>
      </c>
      <c r="BR73" s="51">
        <f>-(BR25+BR26+BR29-BR46-BR49-BR50-BR54-BR55-BR56)</f>
        <v>1699903</v>
      </c>
      <c r="BS73" s="51">
        <f>-(BS25+BS26+BS29-BS46-BS49-BS50-BS54-BS55-BS56)</f>
        <v>1699903</v>
      </c>
      <c r="BT73" s="51">
        <f>-(BT25+BT26+BT29-BT46-BT49-BT50-BT54-BT55-BT56)</f>
        <v>1699903</v>
      </c>
      <c r="BU73" s="51">
        <f>-(BU25+BU26+BU29-BU46-BU49-BU50-BU54-BU55-BU56)</f>
        <v>1699903</v>
      </c>
      <c r="BV73" s="51">
        <f>-(BV25+BV26+BV29-BV46-BV49-BV50-BV54-BV55-BV56)</f>
        <v>1699903</v>
      </c>
      <c r="BW73" s="51">
        <f>-(BW25+BW26+BW29-BW46-BW49-BW50-BW54-BW55-BW56)</f>
        <v>1699903</v>
      </c>
    </row>
    <row r="74" spans="1:75" x14ac:dyDescent="0.3">
      <c r="B74" s="64" t="s">
        <v>547</v>
      </c>
      <c r="D74" s="51">
        <f>D73-C73</f>
        <v>19277</v>
      </c>
      <c r="E74" s="51">
        <f>E73-D73</f>
        <v>14438</v>
      </c>
      <c r="F74" s="51">
        <f>F73-E73</f>
        <v>-42663</v>
      </c>
      <c r="H74" s="51">
        <f>H73-G73</f>
        <v>1677833</v>
      </c>
      <c r="I74" s="51">
        <f>I73-H73</f>
        <v>-182013</v>
      </c>
      <c r="J74" s="51">
        <f>J73-I73</f>
        <v>123518</v>
      </c>
      <c r="K74" s="51">
        <f>K73-J73</f>
        <v>-1029045</v>
      </c>
      <c r="L74" s="48">
        <f>L73-G73</f>
        <v>590293</v>
      </c>
      <c r="M74" s="51">
        <f>M73-L73</f>
        <v>49885</v>
      </c>
      <c r="N74" s="51">
        <f>N73-M73</f>
        <v>13900</v>
      </c>
      <c r="O74" s="51">
        <f>O73-N73</f>
        <v>316289</v>
      </c>
      <c r="P74" s="51">
        <f>P73-O73</f>
        <v>-562040</v>
      </c>
      <c r="Q74" s="48">
        <f>Q73-L73</f>
        <v>-181966</v>
      </c>
      <c r="R74" s="51">
        <f>R73-Q73</f>
        <v>234322</v>
      </c>
      <c r="S74" s="51">
        <f>S73-R73</f>
        <v>49450</v>
      </c>
      <c r="T74" s="51">
        <f>T73-S73</f>
        <v>415048</v>
      </c>
      <c r="U74" s="51">
        <f>U73-T73</f>
        <v>-314494</v>
      </c>
      <c r="V74" s="48">
        <f>V73-Q73</f>
        <v>384326</v>
      </c>
      <c r="W74" s="51">
        <f>W73-V73</f>
        <v>-616483</v>
      </c>
      <c r="X74" s="51">
        <f>X73-W73</f>
        <v>71797</v>
      </c>
      <c r="Y74" s="51">
        <f>Y73-X73</f>
        <v>215723</v>
      </c>
      <c r="Z74" s="51">
        <f>Z73-Y73</f>
        <v>-786512</v>
      </c>
      <c r="AA74" s="48">
        <f>AA73-V73</f>
        <v>-1115475</v>
      </c>
      <c r="AB74" s="51">
        <f>AB73-AA73</f>
        <v>3258816</v>
      </c>
      <c r="AC74" s="51">
        <f>AC73-AB73</f>
        <v>18744</v>
      </c>
      <c r="AD74" s="51">
        <f>AD73-AC73</f>
        <v>465420</v>
      </c>
      <c r="AE74" s="51">
        <f>AE73-AD73</f>
        <v>-635127</v>
      </c>
      <c r="AF74" s="48">
        <f>AF73-AA73</f>
        <v>3107853</v>
      </c>
      <c r="AG74" s="48">
        <f t="shared" ref="AG74:BW74" si="85">AG73-AF73</f>
        <v>-1075188</v>
      </c>
      <c r="AH74" s="48">
        <f t="shared" si="85"/>
        <v>0</v>
      </c>
      <c r="AI74" s="48">
        <f t="shared" si="85"/>
        <v>0</v>
      </c>
      <c r="AJ74" s="48">
        <f t="shared" si="85"/>
        <v>0</v>
      </c>
      <c r="AK74" s="48">
        <f t="shared" si="85"/>
        <v>0</v>
      </c>
      <c r="AL74" s="48">
        <f t="shared" si="85"/>
        <v>0</v>
      </c>
      <c r="AM74" s="48">
        <f t="shared" si="85"/>
        <v>0</v>
      </c>
      <c r="AN74" s="48">
        <f t="shared" si="85"/>
        <v>0</v>
      </c>
      <c r="AO74" s="48">
        <f t="shared" si="85"/>
        <v>0</v>
      </c>
      <c r="AP74" s="48">
        <f t="shared" si="85"/>
        <v>0</v>
      </c>
      <c r="AQ74" s="48">
        <f t="shared" si="85"/>
        <v>0</v>
      </c>
      <c r="AR74" s="48">
        <f t="shared" si="85"/>
        <v>0</v>
      </c>
      <c r="AS74" s="48">
        <f t="shared" si="85"/>
        <v>0</v>
      </c>
      <c r="AT74" s="48">
        <f t="shared" si="85"/>
        <v>0</v>
      </c>
      <c r="AU74" s="48">
        <f t="shared" si="85"/>
        <v>0</v>
      </c>
      <c r="AV74" s="48">
        <f t="shared" si="85"/>
        <v>0</v>
      </c>
      <c r="AW74" s="48">
        <f t="shared" si="85"/>
        <v>0</v>
      </c>
      <c r="AX74" s="48">
        <f t="shared" si="85"/>
        <v>0</v>
      </c>
      <c r="AY74" s="48">
        <f t="shared" si="85"/>
        <v>0</v>
      </c>
      <c r="AZ74" s="48">
        <f t="shared" si="85"/>
        <v>0</v>
      </c>
      <c r="BA74" s="48">
        <f t="shared" si="85"/>
        <v>0</v>
      </c>
      <c r="BB74" s="48">
        <f t="shared" si="85"/>
        <v>0</v>
      </c>
      <c r="BC74" s="48">
        <f t="shared" si="85"/>
        <v>0</v>
      </c>
      <c r="BD74" s="48">
        <f t="shared" si="85"/>
        <v>0</v>
      </c>
      <c r="BE74" s="48">
        <f t="shared" si="85"/>
        <v>0</v>
      </c>
      <c r="BF74" s="48">
        <f t="shared" si="85"/>
        <v>0</v>
      </c>
      <c r="BG74" s="48">
        <f t="shared" si="85"/>
        <v>0</v>
      </c>
      <c r="BH74" s="48">
        <f t="shared" si="85"/>
        <v>0</v>
      </c>
      <c r="BI74" s="48">
        <f t="shared" si="85"/>
        <v>0</v>
      </c>
      <c r="BJ74" s="48">
        <f t="shared" si="85"/>
        <v>0</v>
      </c>
      <c r="BK74" s="48">
        <f t="shared" si="85"/>
        <v>0</v>
      </c>
      <c r="BL74" s="48">
        <f t="shared" si="85"/>
        <v>0</v>
      </c>
      <c r="BM74" s="48">
        <f t="shared" si="85"/>
        <v>0</v>
      </c>
      <c r="BN74" s="48">
        <f t="shared" si="85"/>
        <v>0</v>
      </c>
      <c r="BO74" s="48">
        <f t="shared" si="85"/>
        <v>0</v>
      </c>
      <c r="BP74" s="48">
        <f t="shared" si="85"/>
        <v>0</v>
      </c>
      <c r="BQ74" s="48">
        <f t="shared" si="85"/>
        <v>0</v>
      </c>
      <c r="BR74" s="48">
        <f t="shared" si="85"/>
        <v>0</v>
      </c>
      <c r="BS74" s="48">
        <f t="shared" si="85"/>
        <v>0</v>
      </c>
      <c r="BT74" s="48">
        <f t="shared" si="85"/>
        <v>0</v>
      </c>
      <c r="BU74" s="48">
        <f t="shared" si="85"/>
        <v>0</v>
      </c>
      <c r="BV74" s="48">
        <f t="shared" si="85"/>
        <v>0</v>
      </c>
      <c r="BW74" s="48">
        <f t="shared" si="85"/>
        <v>0</v>
      </c>
    </row>
  </sheetData>
  <pageMargins left="0.511811024" right="0.511811024" top="0.78740157499999996" bottom="0.78740157499999996" header="0.31496062000000002" footer="0.31496062000000002"/>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659B9-0CC9-451D-80ED-0C32D6DB6564}">
  <sheetPr>
    <tabColor theme="8" tint="0.79998168889431442"/>
  </sheetPr>
  <dimension ref="A1:BW134"/>
  <sheetViews>
    <sheetView showGridLines="0" tabSelected="1" zoomScaleNormal="100" workbookViewId="0">
      <pane xSplit="2" ySplit="1" topLeftCell="Y14" activePane="bottomRight" state="frozen"/>
      <selection pane="topRight" activeCell="C1" sqref="C1"/>
      <selection pane="bottomLeft" activeCell="A2" sqref="A2"/>
      <selection pane="bottomRight" activeCell="AJ39" sqref="AJ39"/>
    </sheetView>
  </sheetViews>
  <sheetFormatPr defaultRowHeight="14.4" x14ac:dyDescent="0.3"/>
  <cols>
    <col min="1" max="1" width="58.6640625" style="1" customWidth="1"/>
    <col min="2" max="2" width="6.33203125" style="1" customWidth="1"/>
    <col min="3" max="32" width="10.77734375" style="1" customWidth="1"/>
    <col min="33" max="44" width="11" style="1" bestFit="1" customWidth="1"/>
    <col min="45" max="49" width="10.5546875" style="1" bestFit="1" customWidth="1"/>
    <col min="50" max="53" width="10.21875" style="1" bestFit="1" customWidth="1"/>
    <col min="54" max="61" width="9.88671875" style="1" bestFit="1" customWidth="1"/>
    <col min="62" max="62" width="11.6640625" style="1" bestFit="1" customWidth="1"/>
    <col min="63" max="75" width="7.88671875" style="1" bestFit="1" customWidth="1"/>
    <col min="76" max="16384" width="8.88671875" style="1"/>
  </cols>
  <sheetData>
    <row r="1" spans="1:75" x14ac:dyDescent="0.3">
      <c r="A1" s="271"/>
      <c r="C1" s="41" t="s">
        <v>246</v>
      </c>
      <c r="D1" s="41" t="s">
        <v>245</v>
      </c>
      <c r="E1" s="41" t="s">
        <v>244</v>
      </c>
      <c r="F1" s="41" t="s">
        <v>238</v>
      </c>
      <c r="G1" s="41">
        <v>2018</v>
      </c>
      <c r="H1" s="41" t="s">
        <v>243</v>
      </c>
      <c r="I1" s="41" t="s">
        <v>242</v>
      </c>
      <c r="J1" s="41" t="s">
        <v>241</v>
      </c>
      <c r="K1" s="41" t="s">
        <v>239</v>
      </c>
      <c r="L1" s="41">
        <v>2019</v>
      </c>
      <c r="M1" s="41" t="s">
        <v>237</v>
      </c>
      <c r="N1" s="41" t="s">
        <v>236</v>
      </c>
      <c r="O1" s="41" t="s">
        <v>240</v>
      </c>
      <c r="P1" s="41" t="s">
        <v>228</v>
      </c>
      <c r="Q1" s="41">
        <v>2020</v>
      </c>
      <c r="R1" s="41" t="s">
        <v>234</v>
      </c>
      <c r="S1" s="41" t="s">
        <v>233</v>
      </c>
      <c r="T1" s="41" t="s">
        <v>231</v>
      </c>
      <c r="U1" s="41" t="s">
        <v>227</v>
      </c>
      <c r="V1" s="41">
        <v>2021</v>
      </c>
      <c r="W1" s="41" t="s">
        <v>232</v>
      </c>
      <c r="X1" s="41" t="s">
        <v>230</v>
      </c>
      <c r="Y1" s="41" t="s">
        <v>229</v>
      </c>
      <c r="Z1" s="41" t="s">
        <v>226</v>
      </c>
      <c r="AA1" s="41">
        <v>2022</v>
      </c>
      <c r="AB1" s="41" t="s">
        <v>138</v>
      </c>
      <c r="AC1" s="41" t="s">
        <v>139</v>
      </c>
      <c r="AD1" s="41" t="s">
        <v>270</v>
      </c>
      <c r="AE1" s="41" t="s">
        <v>271</v>
      </c>
      <c r="AF1" s="41">
        <v>2023</v>
      </c>
      <c r="AG1" s="41">
        <f>'Receita Líquida - O&amp;G'!AG1</f>
        <v>2024</v>
      </c>
      <c r="AH1" s="41">
        <f>'Receita Líquida - O&amp;G'!AH1</f>
        <v>2025</v>
      </c>
      <c r="AI1" s="41">
        <f>'Receita Líquida - O&amp;G'!AI1</f>
        <v>2026</v>
      </c>
      <c r="AJ1" s="41">
        <f>'Receita Líquida - O&amp;G'!AJ1</f>
        <v>2027</v>
      </c>
      <c r="AK1" s="41">
        <f>'Receita Líquida - O&amp;G'!AK1</f>
        <v>2028</v>
      </c>
      <c r="AL1" s="41">
        <f>'Receita Líquida - O&amp;G'!AL1</f>
        <v>2029</v>
      </c>
      <c r="AM1" s="41">
        <f>'Receita Líquida - O&amp;G'!AM1</f>
        <v>2030</v>
      </c>
      <c r="AN1" s="41">
        <f>'Receita Líquida - O&amp;G'!AN1</f>
        <v>2031</v>
      </c>
      <c r="AO1" s="41">
        <f>'Receita Líquida - O&amp;G'!AO1</f>
        <v>2032</v>
      </c>
      <c r="AP1" s="41">
        <f>'Receita Líquida - O&amp;G'!AP1</f>
        <v>2033</v>
      </c>
      <c r="AQ1" s="41">
        <f>'Receita Líquida - O&amp;G'!AQ1</f>
        <v>2034</v>
      </c>
      <c r="AR1" s="41">
        <f>'Receita Líquida - O&amp;G'!AR1</f>
        <v>2035</v>
      </c>
      <c r="AS1" s="41">
        <f>'Receita Líquida - O&amp;G'!AS1</f>
        <v>2036</v>
      </c>
      <c r="AT1" s="41">
        <f>'Receita Líquida - O&amp;G'!AT1</f>
        <v>2037</v>
      </c>
      <c r="AU1" s="41">
        <f>'Receita Líquida - O&amp;G'!AU1</f>
        <v>2038</v>
      </c>
      <c r="AV1" s="41">
        <f>'Receita Líquida - O&amp;G'!AV1</f>
        <v>2039</v>
      </c>
      <c r="AW1" s="41">
        <f>'Receita Líquida - O&amp;G'!AW1</f>
        <v>2040</v>
      </c>
      <c r="AX1" s="41">
        <f>'Receita Líquida - O&amp;G'!AX1</f>
        <v>2041</v>
      </c>
      <c r="AY1" s="41">
        <f>'Receita Líquida - O&amp;G'!AY1</f>
        <v>2042</v>
      </c>
      <c r="AZ1" s="41">
        <f>'Receita Líquida - O&amp;G'!AZ1</f>
        <v>2043</v>
      </c>
      <c r="BA1" s="41">
        <f>'Receita Líquida - O&amp;G'!BA1</f>
        <v>2044</v>
      </c>
      <c r="BB1" s="41">
        <f>'Receita Líquida - O&amp;G'!BB1</f>
        <v>2045</v>
      </c>
      <c r="BC1" s="41">
        <f>'Receita Líquida - O&amp;G'!BC1</f>
        <v>2046</v>
      </c>
      <c r="BD1" s="41">
        <f>'Receita Líquida - O&amp;G'!BD1</f>
        <v>2047</v>
      </c>
      <c r="BE1" s="41">
        <f>'Receita Líquida - O&amp;G'!BE1</f>
        <v>2048</v>
      </c>
      <c r="BF1" s="41">
        <f>'Receita Líquida - O&amp;G'!BF1</f>
        <v>2049</v>
      </c>
      <c r="BG1" s="41">
        <f>'Receita Líquida - O&amp;G'!BG1</f>
        <v>2050</v>
      </c>
      <c r="BH1" s="41">
        <f>'Receita Líquida - O&amp;G'!BH1</f>
        <v>2051</v>
      </c>
      <c r="BI1" s="41">
        <f>'Receita Líquida - O&amp;G'!BI1</f>
        <v>2052</v>
      </c>
      <c r="BJ1" s="41">
        <f>'Receita Líquida - O&amp;G'!BJ1</f>
        <v>2053</v>
      </c>
      <c r="BK1" s="41">
        <f>'Receita Líquida - O&amp;G'!BK1</f>
        <v>2054</v>
      </c>
      <c r="BL1" s="41">
        <f>'Receita Líquida - O&amp;G'!BL1</f>
        <v>2055</v>
      </c>
      <c r="BM1" s="41">
        <f>'Receita Líquida - O&amp;G'!BM1</f>
        <v>2056</v>
      </c>
      <c r="BN1" s="41">
        <f>'Receita Líquida - O&amp;G'!BN1</f>
        <v>2057</v>
      </c>
      <c r="BO1" s="41">
        <f>'Receita Líquida - O&amp;G'!BO1</f>
        <v>2058</v>
      </c>
      <c r="BP1" s="41">
        <f>'Receita Líquida - O&amp;G'!BP1</f>
        <v>2059</v>
      </c>
      <c r="BQ1" s="41">
        <f>'Receita Líquida - O&amp;G'!BQ1</f>
        <v>2060</v>
      </c>
      <c r="BR1" s="41">
        <f>'Receita Líquida - O&amp;G'!BR1</f>
        <v>2061</v>
      </c>
      <c r="BS1" s="41">
        <f>'Receita Líquida - O&amp;G'!BS1</f>
        <v>2062</v>
      </c>
      <c r="BT1" s="41">
        <f>'Receita Líquida - O&amp;G'!BT1</f>
        <v>2063</v>
      </c>
      <c r="BU1" s="41">
        <f>'Receita Líquida - O&amp;G'!BU1</f>
        <v>2064</v>
      </c>
      <c r="BV1" s="41">
        <f>'Receita Líquida - O&amp;G'!BV1</f>
        <v>2065</v>
      </c>
      <c r="BW1" s="41">
        <f>'Receita Líquida - O&amp;G'!BW1</f>
        <v>2066</v>
      </c>
    </row>
    <row r="3" spans="1:75" s="278" customFormat="1" x14ac:dyDescent="0.3">
      <c r="A3" s="280" t="s">
        <v>1195</v>
      </c>
    </row>
    <row r="5" spans="1:75" x14ac:dyDescent="0.3">
      <c r="A5" s="38" t="s">
        <v>269</v>
      </c>
      <c r="C5" s="51">
        <f>G5-F5-E5-D5</f>
        <v>90</v>
      </c>
      <c r="D5" s="51">
        <f>DATE(G1,12,31)-DATE(G1,3,31)-F5-E5</f>
        <v>91</v>
      </c>
      <c r="E5" s="51">
        <f>DATE(G1,12,31)-DATE(G1,6,30)-F5</f>
        <v>92</v>
      </c>
      <c r="F5" s="51">
        <f>DATE(G1,12,31)-DATE(G1,9,30)</f>
        <v>92</v>
      </c>
      <c r="G5" s="48">
        <f>DATE(G1,12,31)-DATE(G1-1,12,31)</f>
        <v>365</v>
      </c>
      <c r="H5" s="51">
        <f>L5-K5-J5-I5</f>
        <v>90</v>
      </c>
      <c r="I5" s="51">
        <f>DATE(L1,12,31)-DATE(L1,3,31)-K5-J5</f>
        <v>91</v>
      </c>
      <c r="J5" s="51">
        <f>DATE(L1,12,31)-DATE(L1,6,30)-K5</f>
        <v>92</v>
      </c>
      <c r="K5" s="51">
        <f>DATE(L1,12,31)-DATE(L1,9,30)</f>
        <v>92</v>
      </c>
      <c r="L5" s="48">
        <f>DATE(L1,12,31)-DATE(L1-1,12,31)</f>
        <v>365</v>
      </c>
      <c r="M5" s="51">
        <f>Q5-P5-O5-N5</f>
        <v>91</v>
      </c>
      <c r="N5" s="51">
        <f>DATE(Q1,12,31)-DATE(Q1,3,31)-P5-O5</f>
        <v>91</v>
      </c>
      <c r="O5" s="51">
        <f>DATE(Q1,12,31)-DATE(Q1,6,30)-P5</f>
        <v>92</v>
      </c>
      <c r="P5" s="51">
        <f>DATE(Q1,12,31)-DATE(Q1,9,30)</f>
        <v>92</v>
      </c>
      <c r="Q5" s="48">
        <f>DATE(Q1,12,31)-DATE(Q1-1,12,31)</f>
        <v>366</v>
      </c>
      <c r="R5" s="51">
        <f>V5-U5-T5-S5</f>
        <v>90</v>
      </c>
      <c r="S5" s="51">
        <f>DATE(V1,12,31)-DATE(V1,3,31)-U5-T5</f>
        <v>91</v>
      </c>
      <c r="T5" s="51">
        <f>DATE(V1,12,31)-DATE(V1,6,30)-U5</f>
        <v>92</v>
      </c>
      <c r="U5" s="51">
        <f>DATE(V1,12,31)-DATE(V1,9,30)</f>
        <v>92</v>
      </c>
      <c r="V5" s="48">
        <f>DATE(V1,12,31)-DATE(V1-1,12,31)</f>
        <v>365</v>
      </c>
      <c r="W5" s="51">
        <f>AA5-Z5-Y5-X5</f>
        <v>90</v>
      </c>
      <c r="X5" s="51">
        <f>DATE(AA1,12,31)-DATE(AA1,3,31)-Z5-Y5</f>
        <v>91</v>
      </c>
      <c r="Y5" s="51">
        <f>DATE(AA1,12,31)-DATE(AA1,6,30)-Z5</f>
        <v>92</v>
      </c>
      <c r="Z5" s="51">
        <f>DATE(AA1,12,31)-DATE(AA1,9,30)</f>
        <v>92</v>
      </c>
      <c r="AA5" s="48">
        <f>DATE(AA1,12,31)-DATE(AA1-1,12,31)</f>
        <v>365</v>
      </c>
      <c r="AB5" s="51">
        <f>AF5-AE5-AD5-AC5</f>
        <v>90</v>
      </c>
      <c r="AC5" s="51">
        <f>DATE(AF1,12,31)-DATE(AF1,3,31)-AE5-AD5</f>
        <v>91</v>
      </c>
      <c r="AD5" s="51">
        <f>DATE(AF1,12,31)-DATE(AF1,6,30)-AE5</f>
        <v>92</v>
      </c>
      <c r="AE5" s="51">
        <f>DATE(AF1,12,31)-DATE(AF1,9,30)</f>
        <v>92</v>
      </c>
      <c r="AF5" s="48">
        <f>DATE(AF1,12,31)-DATE(AF1-1,12,31)</f>
        <v>365</v>
      </c>
      <c r="AG5" s="48">
        <f>DATE(AG1,12,31)-DATE(AF1,12,31)</f>
        <v>366</v>
      </c>
      <c r="AH5" s="48">
        <f t="shared" ref="AH5:BL5" si="0">DATE(AH1,12,31)-DATE(AG1,12,31)</f>
        <v>365</v>
      </c>
      <c r="AI5" s="48">
        <f t="shared" si="0"/>
        <v>365</v>
      </c>
      <c r="AJ5" s="48">
        <f t="shared" si="0"/>
        <v>365</v>
      </c>
      <c r="AK5" s="48">
        <f t="shared" si="0"/>
        <v>366</v>
      </c>
      <c r="AL5" s="48">
        <f t="shared" si="0"/>
        <v>365</v>
      </c>
      <c r="AM5" s="48">
        <f t="shared" si="0"/>
        <v>365</v>
      </c>
      <c r="AN5" s="48">
        <f t="shared" si="0"/>
        <v>365</v>
      </c>
      <c r="AO5" s="48">
        <f t="shared" si="0"/>
        <v>366</v>
      </c>
      <c r="AP5" s="48">
        <f t="shared" si="0"/>
        <v>365</v>
      </c>
      <c r="AQ5" s="48">
        <f t="shared" si="0"/>
        <v>365</v>
      </c>
      <c r="AR5" s="48">
        <f t="shared" si="0"/>
        <v>365</v>
      </c>
      <c r="AS5" s="48">
        <f t="shared" si="0"/>
        <v>366</v>
      </c>
      <c r="AT5" s="48">
        <f t="shared" si="0"/>
        <v>365</v>
      </c>
      <c r="AU5" s="48">
        <f t="shared" si="0"/>
        <v>365</v>
      </c>
      <c r="AV5" s="48">
        <f t="shared" si="0"/>
        <v>365</v>
      </c>
      <c r="AW5" s="48">
        <f t="shared" si="0"/>
        <v>366</v>
      </c>
      <c r="AX5" s="48">
        <f t="shared" si="0"/>
        <v>365</v>
      </c>
      <c r="AY5" s="48">
        <f t="shared" si="0"/>
        <v>365</v>
      </c>
      <c r="AZ5" s="48">
        <f t="shared" si="0"/>
        <v>365</v>
      </c>
      <c r="BA5" s="48">
        <f t="shared" si="0"/>
        <v>366</v>
      </c>
      <c r="BB5" s="48">
        <f t="shared" si="0"/>
        <v>365</v>
      </c>
      <c r="BC5" s="48">
        <f t="shared" si="0"/>
        <v>365</v>
      </c>
      <c r="BD5" s="48">
        <f t="shared" si="0"/>
        <v>365</v>
      </c>
      <c r="BE5" s="48">
        <f t="shared" si="0"/>
        <v>366</v>
      </c>
      <c r="BF5" s="48">
        <f t="shared" si="0"/>
        <v>365</v>
      </c>
      <c r="BG5" s="48">
        <f t="shared" si="0"/>
        <v>365</v>
      </c>
      <c r="BH5" s="48">
        <f t="shared" si="0"/>
        <v>365</v>
      </c>
      <c r="BI5" s="48">
        <f t="shared" si="0"/>
        <v>366</v>
      </c>
      <c r="BJ5" s="48">
        <f t="shared" si="0"/>
        <v>365</v>
      </c>
      <c r="BK5" s="48">
        <f t="shared" si="0"/>
        <v>365</v>
      </c>
      <c r="BL5" s="48">
        <f t="shared" si="0"/>
        <v>365</v>
      </c>
      <c r="BM5" s="48">
        <f t="shared" ref="BM5:BW5" si="1">DATE(BM1,12,31)-DATE(BL1,12,31)</f>
        <v>366</v>
      </c>
      <c r="BN5" s="48">
        <f t="shared" si="1"/>
        <v>365</v>
      </c>
      <c r="BO5" s="48">
        <f t="shared" si="1"/>
        <v>365</v>
      </c>
      <c r="BP5" s="48">
        <f t="shared" si="1"/>
        <v>365</v>
      </c>
      <c r="BQ5" s="48">
        <f t="shared" si="1"/>
        <v>366</v>
      </c>
      <c r="BR5" s="48">
        <f t="shared" si="1"/>
        <v>365</v>
      </c>
      <c r="BS5" s="48">
        <f t="shared" si="1"/>
        <v>365</v>
      </c>
      <c r="BT5" s="48">
        <f t="shared" si="1"/>
        <v>365</v>
      </c>
      <c r="BU5" s="48">
        <f t="shared" si="1"/>
        <v>366</v>
      </c>
      <c r="BV5" s="48">
        <f t="shared" si="1"/>
        <v>365</v>
      </c>
      <c r="BW5" s="48">
        <f t="shared" si="1"/>
        <v>365</v>
      </c>
    </row>
    <row r="6" spans="1:75" x14ac:dyDescent="0.3">
      <c r="A6" s="38" t="s">
        <v>625</v>
      </c>
      <c r="AG6" s="69">
        <f>'Resultado Financeiro e Dívida'!AG5</f>
        <v>3.8805953788752845E-2</v>
      </c>
      <c r="AH6" s="69">
        <f>'Resultado Financeiro e Dívida'!AH5</f>
        <v>3.6704793936478186E-2</v>
      </c>
      <c r="AI6" s="69">
        <f>'Resultado Financeiro e Dívida'!AI5</f>
        <v>3.5180948775491494E-2</v>
      </c>
      <c r="AJ6" s="69">
        <f>'Resultado Financeiro e Dívida'!AJ5</f>
        <v>3.499999999999992E-2</v>
      </c>
      <c r="AK6" s="69">
        <f>'Resultado Financeiro e Dívida'!AK5</f>
        <v>3.2457002457002337E-2</v>
      </c>
      <c r="AL6" s="69">
        <f>'Resultado Financeiro e Dívida'!AL5</f>
        <v>3.0000000000000249E-2</v>
      </c>
      <c r="AM6" s="69">
        <f>'Resultado Financeiro e Dívida'!AM5</f>
        <v>3.0000000000000249E-2</v>
      </c>
      <c r="AN6" s="69">
        <f>'Resultado Financeiro e Dívida'!AN5</f>
        <v>3.0000000000000249E-2</v>
      </c>
      <c r="AO6" s="69">
        <f>'Resultado Financeiro e Dívida'!AO5</f>
        <v>3.0000000000000249E-2</v>
      </c>
      <c r="AP6" s="69">
        <f>'Resultado Financeiro e Dívida'!AP5</f>
        <v>3.0000000000000249E-2</v>
      </c>
      <c r="AQ6" s="69">
        <f>'Resultado Financeiro e Dívida'!AQ5</f>
        <v>3.0000000000000249E-2</v>
      </c>
      <c r="AR6" s="69">
        <f>'Resultado Financeiro e Dívida'!AR5</f>
        <v>3.0000000000000249E-2</v>
      </c>
      <c r="AS6" s="69">
        <f>'Resultado Financeiro e Dívida'!AS5</f>
        <v>3.0000000000000249E-2</v>
      </c>
      <c r="AT6" s="69">
        <f>'Resultado Financeiro e Dívida'!AT5</f>
        <v>3.0000000000000249E-2</v>
      </c>
      <c r="AU6" s="69">
        <f>'Resultado Financeiro e Dívida'!AU5</f>
        <v>3.0000000000000249E-2</v>
      </c>
      <c r="AV6" s="69">
        <f>'Resultado Financeiro e Dívida'!AV5</f>
        <v>3.0000000000000249E-2</v>
      </c>
      <c r="AW6" s="69">
        <f>'Resultado Financeiro e Dívida'!AW5</f>
        <v>3.0000000000000249E-2</v>
      </c>
      <c r="AX6" s="69">
        <f>'Resultado Financeiro e Dívida'!AX5</f>
        <v>3.0000000000000249E-2</v>
      </c>
      <c r="AY6" s="69">
        <f>'Resultado Financeiro e Dívida'!AY5</f>
        <v>3.0000000000000249E-2</v>
      </c>
      <c r="AZ6" s="69">
        <f>'Resultado Financeiro e Dívida'!AZ5</f>
        <v>3.0000000000000249E-2</v>
      </c>
      <c r="BA6" s="69">
        <f>'Resultado Financeiro e Dívida'!BA5</f>
        <v>3.0000000000000249E-2</v>
      </c>
      <c r="BB6" s="69">
        <f>'Resultado Financeiro e Dívida'!BB5</f>
        <v>3.0000000000000249E-2</v>
      </c>
      <c r="BC6" s="69">
        <f>'Resultado Financeiro e Dívida'!BC5</f>
        <v>3.0000000000000249E-2</v>
      </c>
      <c r="BD6" s="69">
        <f>'Resultado Financeiro e Dívida'!BD5</f>
        <v>3.0000000000000249E-2</v>
      </c>
      <c r="BE6" s="69">
        <f>'Resultado Financeiro e Dívida'!BE5</f>
        <v>3.0000000000000249E-2</v>
      </c>
      <c r="BF6" s="69">
        <f>'Resultado Financeiro e Dívida'!BF5</f>
        <v>3.0000000000000249E-2</v>
      </c>
      <c r="BG6" s="69">
        <f>'Resultado Financeiro e Dívida'!BG5</f>
        <v>3.0000000000000249E-2</v>
      </c>
      <c r="BH6" s="69">
        <f>'Resultado Financeiro e Dívida'!BH5</f>
        <v>3.0000000000000249E-2</v>
      </c>
      <c r="BI6" s="69">
        <f>'Resultado Financeiro e Dívida'!BI5</f>
        <v>3.0000000000000249E-2</v>
      </c>
      <c r="BJ6" s="69">
        <f>'Resultado Financeiro e Dívida'!BJ5</f>
        <v>3.0000000000000249E-2</v>
      </c>
      <c r="BK6" s="69">
        <f>'Resultado Financeiro e Dívida'!BK5</f>
        <v>3.0000000000000249E-2</v>
      </c>
      <c r="BL6" s="69">
        <f>'Resultado Financeiro e Dívida'!BL5</f>
        <v>3.0000000000000249E-2</v>
      </c>
      <c r="BM6" s="69">
        <f>'Resultado Financeiro e Dívida'!BM5</f>
        <v>3.0000000000000249E-2</v>
      </c>
      <c r="BN6" s="69">
        <f>'Resultado Financeiro e Dívida'!BN5</f>
        <v>3.0000000000000249E-2</v>
      </c>
      <c r="BO6" s="69">
        <f>'Resultado Financeiro e Dívida'!BO5</f>
        <v>3.0000000000000249E-2</v>
      </c>
      <c r="BP6" s="69">
        <f>'Resultado Financeiro e Dívida'!BP5</f>
        <v>3.0000000000000249E-2</v>
      </c>
      <c r="BQ6" s="69">
        <f>'Resultado Financeiro e Dívida'!BQ5</f>
        <v>3.0000000000000249E-2</v>
      </c>
      <c r="BR6" s="69">
        <f>'Resultado Financeiro e Dívida'!BR5</f>
        <v>3.0000000000000249E-2</v>
      </c>
      <c r="BS6" s="69">
        <f>'Resultado Financeiro e Dívida'!BS5</f>
        <v>3.0000000000000249E-2</v>
      </c>
      <c r="BT6" s="69">
        <f>'Resultado Financeiro e Dívida'!BT5</f>
        <v>3.0000000000000249E-2</v>
      </c>
      <c r="BU6" s="69">
        <f>'Resultado Financeiro e Dívida'!BU5</f>
        <v>3.0000000000000249E-2</v>
      </c>
      <c r="BV6" s="69">
        <f>'Resultado Financeiro e Dívida'!BV5</f>
        <v>3.0000000000000249E-2</v>
      </c>
      <c r="BW6" s="69">
        <f>'Resultado Financeiro e Dívida'!BW5</f>
        <v>3.0000000000000249E-2</v>
      </c>
    </row>
    <row r="7" spans="1:75" x14ac:dyDescent="0.3">
      <c r="A7" s="38" t="s">
        <v>107</v>
      </c>
      <c r="AG7" s="69">
        <f>SUMIFS('Drivers Macroeconômico'!$J:$J,'Drivers Macroeconômico'!$H:$H,'Fluxo de Caixa dos Acionistas'!AG$1)</f>
        <v>2.7E-2</v>
      </c>
      <c r="AH7" s="69">
        <f>SUMIFS('Drivers Macroeconômico'!$J:$J,'Drivers Macroeconômico'!$H:$H,'Fluxo de Caixa dos Acionistas'!AH$1)</f>
        <v>0.02</v>
      </c>
      <c r="AI7" s="69">
        <f>SUMIFS('Drivers Macroeconômico'!$J:$J,'Drivers Macroeconômico'!$H:$H,'Fluxo de Caixa dos Acionistas'!AI$1)</f>
        <v>0.02</v>
      </c>
      <c r="AJ7" s="69">
        <f>SUMIFS('Drivers Macroeconômico'!$J:$J,'Drivers Macroeconômico'!$H:$H,'Fluxo de Caixa dos Acionistas'!AJ$1)</f>
        <v>0.02</v>
      </c>
      <c r="AK7" s="69">
        <f>SUMIFS('Drivers Macroeconômico'!$J:$J,'Drivers Macroeconômico'!$H:$H,'Fluxo de Caixa dos Acionistas'!AK$1)</f>
        <v>0.02</v>
      </c>
      <c r="AL7" s="69">
        <f>SUMIFS('Drivers Macroeconômico'!$J:$J,'Drivers Macroeconômico'!$H:$H,'Fluxo de Caixa dos Acionistas'!AL$1)</f>
        <v>0.02</v>
      </c>
      <c r="AM7" s="69">
        <f>SUMIFS('Drivers Macroeconômico'!$J:$J,'Drivers Macroeconômico'!$H:$H,'Fluxo de Caixa dos Acionistas'!AM$1)</f>
        <v>0.02</v>
      </c>
      <c r="AN7" s="69">
        <f>SUMIFS('Drivers Macroeconômico'!$J:$J,'Drivers Macroeconômico'!$H:$H,'Fluxo de Caixa dos Acionistas'!AN$1)</f>
        <v>0.02</v>
      </c>
      <c r="AO7" s="69">
        <f>SUMIFS('Drivers Macroeconômico'!$J:$J,'Drivers Macroeconômico'!$H:$H,'Fluxo de Caixa dos Acionistas'!AO$1)</f>
        <v>0.02</v>
      </c>
      <c r="AP7" s="69">
        <f>SUMIFS('Drivers Macroeconômico'!$J:$J,'Drivers Macroeconômico'!$H:$H,'Fluxo de Caixa dos Acionistas'!AP$1)</f>
        <v>0.02</v>
      </c>
      <c r="AQ7" s="69">
        <f>SUMIFS('Drivers Macroeconômico'!$J:$J,'Drivers Macroeconômico'!$H:$H,'Fluxo de Caixa dos Acionistas'!AQ$1)</f>
        <v>0.02</v>
      </c>
      <c r="AR7" s="69">
        <f>SUMIFS('Drivers Macroeconômico'!$J:$J,'Drivers Macroeconômico'!$H:$H,'Fluxo de Caixa dos Acionistas'!AR$1)</f>
        <v>0.02</v>
      </c>
      <c r="AS7" s="69">
        <f>SUMIFS('Drivers Macroeconômico'!$J:$J,'Drivers Macroeconômico'!$H:$H,'Fluxo de Caixa dos Acionistas'!AS$1)</f>
        <v>0.02</v>
      </c>
      <c r="AT7" s="69">
        <f>SUMIFS('Drivers Macroeconômico'!$J:$J,'Drivers Macroeconômico'!$H:$H,'Fluxo de Caixa dos Acionistas'!AT$1)</f>
        <v>0.02</v>
      </c>
      <c r="AU7" s="69">
        <f>SUMIFS('Drivers Macroeconômico'!$J:$J,'Drivers Macroeconômico'!$H:$H,'Fluxo de Caixa dos Acionistas'!AU$1)</f>
        <v>0.02</v>
      </c>
      <c r="AV7" s="69">
        <f>SUMIFS('Drivers Macroeconômico'!$J:$J,'Drivers Macroeconômico'!$H:$H,'Fluxo de Caixa dos Acionistas'!AV$1)</f>
        <v>0.02</v>
      </c>
      <c r="AW7" s="69">
        <f>SUMIFS('Drivers Macroeconômico'!$J:$J,'Drivers Macroeconômico'!$H:$H,'Fluxo de Caixa dos Acionistas'!AW$1)</f>
        <v>0.02</v>
      </c>
      <c r="AX7" s="69">
        <f>SUMIFS('Drivers Macroeconômico'!$J:$J,'Drivers Macroeconômico'!$H:$H,'Fluxo de Caixa dos Acionistas'!AX$1)</f>
        <v>0.02</v>
      </c>
      <c r="AY7" s="69">
        <f>SUMIFS('Drivers Macroeconômico'!$J:$J,'Drivers Macroeconômico'!$H:$H,'Fluxo de Caixa dos Acionistas'!AY$1)</f>
        <v>0.02</v>
      </c>
      <c r="AZ7" s="69">
        <f>SUMIFS('Drivers Macroeconômico'!$J:$J,'Drivers Macroeconômico'!$H:$H,'Fluxo de Caixa dos Acionistas'!AZ$1)</f>
        <v>0.02</v>
      </c>
      <c r="BA7" s="69">
        <f>SUMIFS('Drivers Macroeconômico'!$J:$J,'Drivers Macroeconômico'!$H:$H,'Fluxo de Caixa dos Acionistas'!BA$1)</f>
        <v>0.02</v>
      </c>
      <c r="BB7" s="69">
        <f>SUMIFS('Drivers Macroeconômico'!$J:$J,'Drivers Macroeconômico'!$H:$H,'Fluxo de Caixa dos Acionistas'!BB$1)</f>
        <v>0.02</v>
      </c>
      <c r="BC7" s="69">
        <f>SUMIFS('Drivers Macroeconômico'!$J:$J,'Drivers Macroeconômico'!$H:$H,'Fluxo de Caixa dos Acionistas'!BC$1)</f>
        <v>0.02</v>
      </c>
      <c r="BD7" s="69">
        <f>SUMIFS('Drivers Macroeconômico'!$J:$J,'Drivers Macroeconômico'!$H:$H,'Fluxo de Caixa dos Acionistas'!BD$1)</f>
        <v>0.02</v>
      </c>
      <c r="BE7" s="69">
        <f>SUMIFS('Drivers Macroeconômico'!$J:$J,'Drivers Macroeconômico'!$H:$H,'Fluxo de Caixa dos Acionistas'!BE$1)</f>
        <v>0.02</v>
      </c>
      <c r="BF7" s="69">
        <f>SUMIFS('Drivers Macroeconômico'!$J:$J,'Drivers Macroeconômico'!$H:$H,'Fluxo de Caixa dos Acionistas'!BF$1)</f>
        <v>0.02</v>
      </c>
      <c r="BG7" s="69">
        <f>SUMIFS('Drivers Macroeconômico'!$J:$J,'Drivers Macroeconômico'!$H:$H,'Fluxo de Caixa dos Acionistas'!BG$1)</f>
        <v>0.02</v>
      </c>
      <c r="BH7" s="69">
        <f>SUMIFS('Drivers Macroeconômico'!$J:$J,'Drivers Macroeconômico'!$H:$H,'Fluxo de Caixa dos Acionistas'!BH$1)</f>
        <v>0.02</v>
      </c>
      <c r="BI7" s="69">
        <f>SUMIFS('Drivers Macroeconômico'!$J:$J,'Drivers Macroeconômico'!$H:$H,'Fluxo de Caixa dos Acionistas'!BI$1)</f>
        <v>0.02</v>
      </c>
      <c r="BJ7" s="69">
        <f>SUMIFS('Drivers Macroeconômico'!$J:$J,'Drivers Macroeconômico'!$H:$H,'Fluxo de Caixa dos Acionistas'!BJ$1)</f>
        <v>0.02</v>
      </c>
      <c r="BK7" s="69">
        <f>SUMIFS('Drivers Macroeconômico'!$J:$J,'Drivers Macroeconômico'!$H:$H,'Fluxo de Caixa dos Acionistas'!BK$1)</f>
        <v>0.02</v>
      </c>
      <c r="BL7" s="69">
        <f>SUMIFS('Drivers Macroeconômico'!$J:$J,'Drivers Macroeconômico'!$H:$H,'Fluxo de Caixa dos Acionistas'!BL$1)</f>
        <v>0.02</v>
      </c>
      <c r="BM7" s="69">
        <f>SUMIFS('Drivers Macroeconômico'!$J:$J,'Drivers Macroeconômico'!$H:$H,'Fluxo de Caixa dos Acionistas'!BM$1)</f>
        <v>0.02</v>
      </c>
      <c r="BN7" s="69">
        <f>SUMIFS('Drivers Macroeconômico'!$J:$J,'Drivers Macroeconômico'!$H:$H,'Fluxo de Caixa dos Acionistas'!BN$1)</f>
        <v>0.02</v>
      </c>
      <c r="BO7" s="69">
        <f>SUMIFS('Drivers Macroeconômico'!$J:$J,'Drivers Macroeconômico'!$H:$H,'Fluxo de Caixa dos Acionistas'!BO$1)</f>
        <v>0.02</v>
      </c>
      <c r="BP7" s="69">
        <f>SUMIFS('Drivers Macroeconômico'!$J:$J,'Drivers Macroeconômico'!$H:$H,'Fluxo de Caixa dos Acionistas'!BP$1)</f>
        <v>0.02</v>
      </c>
      <c r="BQ7" s="69">
        <f>SUMIFS('Drivers Macroeconômico'!$J:$J,'Drivers Macroeconômico'!$H:$H,'Fluxo de Caixa dos Acionistas'!BQ$1)</f>
        <v>0.02</v>
      </c>
      <c r="BR7" s="69">
        <f>SUMIFS('Drivers Macroeconômico'!$J:$J,'Drivers Macroeconômico'!$H:$H,'Fluxo de Caixa dos Acionistas'!BR$1)</f>
        <v>0.02</v>
      </c>
      <c r="BS7" s="69">
        <f>SUMIFS('Drivers Macroeconômico'!$J:$J,'Drivers Macroeconômico'!$H:$H,'Fluxo de Caixa dos Acionistas'!BS$1)</f>
        <v>0.02</v>
      </c>
      <c r="BT7" s="69">
        <f>SUMIFS('Drivers Macroeconômico'!$J:$J,'Drivers Macroeconômico'!$H:$H,'Fluxo de Caixa dos Acionistas'!BT$1)</f>
        <v>0.02</v>
      </c>
      <c r="BU7" s="69">
        <f>SUMIFS('Drivers Macroeconômico'!$J:$J,'Drivers Macroeconômico'!$H:$H,'Fluxo de Caixa dos Acionistas'!BU$1)</f>
        <v>0.02</v>
      </c>
      <c r="BV7" s="69">
        <f>SUMIFS('Drivers Macroeconômico'!$J:$J,'Drivers Macroeconômico'!$H:$H,'Fluxo de Caixa dos Acionistas'!BV$1)</f>
        <v>0.02</v>
      </c>
      <c r="BW7" s="69">
        <f>SUMIFS('Drivers Macroeconômico'!$J:$J,'Drivers Macroeconômico'!$H:$H,'Fluxo de Caixa dos Acionistas'!BW$1)</f>
        <v>0.02</v>
      </c>
    </row>
    <row r="8" spans="1:75" x14ac:dyDescent="0.3">
      <c r="A8" s="42" t="s">
        <v>1185</v>
      </c>
      <c r="AG8" s="69">
        <f>100%*(1+AG7)</f>
        <v>1.0269999999999999</v>
      </c>
      <c r="AH8" s="69">
        <f>AG8*(1+AH7)</f>
        <v>1.0475399999999999</v>
      </c>
      <c r="AI8" s="69">
        <f t="shared" ref="AI8:BW8" si="2">AH8*(1+AI7)</f>
        <v>1.0684908</v>
      </c>
      <c r="AJ8" s="69">
        <f t="shared" si="2"/>
        <v>1.0898606159999999</v>
      </c>
      <c r="AK8" s="69">
        <f t="shared" si="2"/>
        <v>1.11165782832</v>
      </c>
      <c r="AL8" s="69">
        <f t="shared" si="2"/>
        <v>1.1338909848864001</v>
      </c>
      <c r="AM8" s="69">
        <f t="shared" si="2"/>
        <v>1.156568804584128</v>
      </c>
      <c r="AN8" s="69">
        <f t="shared" si="2"/>
        <v>1.1797001806758105</v>
      </c>
      <c r="AO8" s="69">
        <f t="shared" si="2"/>
        <v>1.2032941842893268</v>
      </c>
      <c r="AP8" s="69">
        <f t="shared" si="2"/>
        <v>1.2273600679751133</v>
      </c>
      <c r="AQ8" s="69">
        <f t="shared" si="2"/>
        <v>1.2519072693346156</v>
      </c>
      <c r="AR8" s="69">
        <f t="shared" si="2"/>
        <v>1.276945414721308</v>
      </c>
      <c r="AS8" s="69">
        <f t="shared" si="2"/>
        <v>1.3024843230157341</v>
      </c>
      <c r="AT8" s="69">
        <f t="shared" si="2"/>
        <v>1.3285340094760489</v>
      </c>
      <c r="AU8" s="69">
        <f t="shared" si="2"/>
        <v>1.3551046896655699</v>
      </c>
      <c r="AV8" s="69">
        <f t="shared" si="2"/>
        <v>1.3822067834588814</v>
      </c>
      <c r="AW8" s="69">
        <f t="shared" si="2"/>
        <v>1.409850919128059</v>
      </c>
      <c r="AX8" s="69">
        <f t="shared" si="2"/>
        <v>1.4380479375106203</v>
      </c>
      <c r="AY8" s="69">
        <f t="shared" si="2"/>
        <v>1.4668088962608328</v>
      </c>
      <c r="AZ8" s="69">
        <f t="shared" si="2"/>
        <v>1.4961450741860494</v>
      </c>
      <c r="BA8" s="69">
        <f t="shared" si="2"/>
        <v>1.5260679756697704</v>
      </c>
      <c r="BB8" s="69">
        <f t="shared" si="2"/>
        <v>1.5565893351831659</v>
      </c>
      <c r="BC8" s="69">
        <f t="shared" si="2"/>
        <v>1.5877211218868292</v>
      </c>
      <c r="BD8" s="69">
        <f t="shared" si="2"/>
        <v>1.6194755443245659</v>
      </c>
      <c r="BE8" s="69">
        <f t="shared" si="2"/>
        <v>1.6518650552110572</v>
      </c>
      <c r="BF8" s="69">
        <f t="shared" si="2"/>
        <v>1.6849023563152783</v>
      </c>
      <c r="BG8" s="69">
        <f t="shared" si="2"/>
        <v>1.7186004034415838</v>
      </c>
      <c r="BH8" s="69">
        <f t="shared" si="2"/>
        <v>1.7529724115104155</v>
      </c>
      <c r="BI8" s="69">
        <f t="shared" si="2"/>
        <v>1.7880318597406237</v>
      </c>
      <c r="BJ8" s="69">
        <f t="shared" si="2"/>
        <v>1.8237924969354362</v>
      </c>
      <c r="BK8" s="69">
        <f t="shared" si="2"/>
        <v>1.860268346874145</v>
      </c>
      <c r="BL8" s="69">
        <f t="shared" si="2"/>
        <v>1.897473713811628</v>
      </c>
      <c r="BM8" s="69">
        <f t="shared" si="2"/>
        <v>1.9354231880878605</v>
      </c>
      <c r="BN8" s="69">
        <f t="shared" si="2"/>
        <v>1.9741316518496177</v>
      </c>
      <c r="BO8" s="69">
        <f t="shared" si="2"/>
        <v>2.0136142848866099</v>
      </c>
      <c r="BP8" s="69">
        <f t="shared" si="2"/>
        <v>2.0538865705843423</v>
      </c>
      <c r="BQ8" s="69">
        <f t="shared" si="2"/>
        <v>2.0949643019960291</v>
      </c>
      <c r="BR8" s="69">
        <f t="shared" si="2"/>
        <v>2.1368635880359497</v>
      </c>
      <c r="BS8" s="69">
        <f t="shared" si="2"/>
        <v>2.1796008597966687</v>
      </c>
      <c r="BT8" s="69">
        <f t="shared" si="2"/>
        <v>2.2231928769926022</v>
      </c>
      <c r="BU8" s="69">
        <f t="shared" si="2"/>
        <v>2.2676567345324541</v>
      </c>
      <c r="BV8" s="69">
        <f t="shared" si="2"/>
        <v>2.3130098692231034</v>
      </c>
      <c r="BW8" s="69">
        <f t="shared" si="2"/>
        <v>2.3592700666075657</v>
      </c>
    </row>
    <row r="9" spans="1:75" x14ac:dyDescent="0.3">
      <c r="A9" s="38" t="s">
        <v>506</v>
      </c>
      <c r="C9" s="98">
        <f>'Receita Líquida - O&amp;G'!C17</f>
        <v>3.32</v>
      </c>
      <c r="D9" s="98">
        <f>'Receita Líquida - O&amp;G'!D17</f>
        <v>3.86</v>
      </c>
      <c r="E9" s="98">
        <f>'Receita Líquida - O&amp;G'!E17</f>
        <v>4</v>
      </c>
      <c r="F9" s="98">
        <f>'Receita Líquida - O&amp;G'!F17</f>
        <v>3.87</v>
      </c>
      <c r="G9" s="98">
        <f>'Receita Líquida - O&amp;G'!G17</f>
        <v>3.7625000000000002</v>
      </c>
      <c r="H9" s="98">
        <f>'Receita Líquida - O&amp;G'!H17</f>
        <v>3.9</v>
      </c>
      <c r="I9" s="98">
        <f>'Receita Líquida - O&amp;G'!I17</f>
        <v>3.85</v>
      </c>
      <c r="J9" s="98">
        <f>'Receita Líquida - O&amp;G'!J17</f>
        <v>4.16</v>
      </c>
      <c r="K9" s="98">
        <f>'Receita Líquida - O&amp;G'!K17</f>
        <v>4.0199999999999996</v>
      </c>
      <c r="L9" s="98">
        <f>'Receita Líquida - O&amp;G'!L17</f>
        <v>3.9824999999999999</v>
      </c>
      <c r="M9" s="98">
        <f>'Receita Líquida - O&amp;G'!M17</f>
        <v>5.2</v>
      </c>
      <c r="N9" s="98">
        <f>'Receita Líquida - O&amp;G'!N17</f>
        <v>5.47</v>
      </c>
      <c r="O9" s="98">
        <f>'Receita Líquida - O&amp;G'!O17</f>
        <v>5.61</v>
      </c>
      <c r="P9" s="98">
        <f>'Receita Líquida - O&amp;G'!P17</f>
        <v>5.19</v>
      </c>
      <c r="Q9" s="98">
        <f>'Receita Líquida - O&amp;G'!Q17</f>
        <v>5.3675000000000006</v>
      </c>
      <c r="R9" s="98">
        <f>'Receita Líquida - O&amp;G'!R17</f>
        <v>5.7</v>
      </c>
      <c r="S9" s="98">
        <f>'Receita Líquida - O&amp;G'!S17</f>
        <v>5</v>
      </c>
      <c r="T9" s="98">
        <f>'Receita Líquida - O&amp;G'!T17</f>
        <v>5.44</v>
      </c>
      <c r="U9" s="98">
        <f>'Receita Líquida - O&amp;G'!U17</f>
        <v>5.58</v>
      </c>
      <c r="V9" s="98">
        <f>'Receita Líquida - O&amp;G'!V17</f>
        <v>5.43</v>
      </c>
      <c r="W9" s="98">
        <f>'Receita Líquida - O&amp;G'!W17</f>
        <v>4.74</v>
      </c>
      <c r="X9" s="98">
        <f>'Receita Líquida - O&amp;G'!X17</f>
        <v>5.35</v>
      </c>
      <c r="Y9" s="98">
        <f>'Receita Líquida - O&amp;G'!Y17</f>
        <v>5.41</v>
      </c>
      <c r="Z9" s="98">
        <f>'Receita Líquida - O&amp;G'!Z17</f>
        <v>5.29</v>
      </c>
      <c r="AA9" s="98">
        <f>'Receita Líquida - O&amp;G'!AA17</f>
        <v>5.1974999999999998</v>
      </c>
      <c r="AB9" s="98">
        <f>'Receita Líquida - O&amp;G'!AB17</f>
        <v>5.0599999999999996</v>
      </c>
      <c r="AC9" s="98">
        <f>'Receita Líquida - O&amp;G'!AC17</f>
        <v>4.79</v>
      </c>
      <c r="AD9" s="98">
        <f>'Receita Líquida - O&amp;G'!AD17</f>
        <v>5.03</v>
      </c>
      <c r="AE9" s="98">
        <f>'Receita Líquida - O&amp;G'!AE17</f>
        <v>4.8499999999999996</v>
      </c>
      <c r="AF9" s="98">
        <f>'Receita Líquida - O&amp;G'!AF17</f>
        <v>4.9324999999999992</v>
      </c>
      <c r="AG9" s="95">
        <f>'Avaliação e Simulações'!E3</f>
        <v>4.9324999999999992</v>
      </c>
      <c r="AH9" s="95">
        <f>'Avaliação e Simulações'!F3</f>
        <v>4.9326999999999996</v>
      </c>
      <c r="AI9" s="95">
        <f>'Avaliação e Simulações'!G3</f>
        <v>5</v>
      </c>
      <c r="AJ9" s="95">
        <f>'Avaliação e Simulações'!H3</f>
        <v>5.04</v>
      </c>
      <c r="AK9" s="95">
        <f>'Avaliação e Simulações'!I3</f>
        <v>5.0999999999999996</v>
      </c>
      <c r="AL9" s="95">
        <f>'Avaliação e Simulações'!J3</f>
        <v>5.15</v>
      </c>
      <c r="AM9" s="95">
        <f>'Avaliação e Simulações'!K3</f>
        <v>5.200490196078432</v>
      </c>
      <c r="AN9" s="95">
        <f>'Avaliação e Simulações'!L3</f>
        <v>5.2514753940792014</v>
      </c>
      <c r="AO9" s="95">
        <f>'Avaliação e Simulações'!M3</f>
        <v>5.3029604469623308</v>
      </c>
      <c r="AP9" s="95">
        <f>'Avaliação e Simulações'!N3</f>
        <v>5.3549502552658828</v>
      </c>
      <c r="AQ9" s="95">
        <f>'Avaliação e Simulações'!O3</f>
        <v>5.4074497675724107</v>
      </c>
      <c r="AR9" s="95">
        <f>'Avaliação e Simulações'!P3</f>
        <v>5.4604639809799842</v>
      </c>
      <c r="AS9" s="95">
        <f>'Avaliação e Simulações'!Q3</f>
        <v>5.5139979415778271</v>
      </c>
      <c r="AT9" s="95">
        <f>'Avaliação e Simulações'!R3</f>
        <v>5.5680567449266292</v>
      </c>
      <c r="AU9" s="95">
        <f>'Avaliação e Simulações'!S3</f>
        <v>5.6226455365435566</v>
      </c>
      <c r="AV9" s="95">
        <f>'Avaliação e Simulações'!T3</f>
        <v>5.6777695123920227</v>
      </c>
      <c r="AW9" s="95">
        <f>'Avaliação e Simulações'!U3</f>
        <v>5.7334339193762576</v>
      </c>
      <c r="AX9" s="95">
        <f>'Avaliação e Simulações'!V3</f>
        <v>5.7896440558407303</v>
      </c>
      <c r="AY9" s="95">
        <f>'Avaliação e Simulações'!W3</f>
        <v>5.8464052720744633</v>
      </c>
      <c r="AZ9" s="95">
        <f>'Avaliação e Simulações'!X3</f>
        <v>5.903722970820291</v>
      </c>
      <c r="BA9" s="95">
        <f>'Avaliação e Simulações'!Y3</f>
        <v>5.9616026077891178</v>
      </c>
      <c r="BB9" s="95">
        <f>'Avaliação e Simulações'!Z3</f>
        <v>6.0200496921792075</v>
      </c>
      <c r="BC9" s="95">
        <f>'Avaliação e Simulações'!AA3</f>
        <v>6.0790697872005719</v>
      </c>
      <c r="BD9" s="95">
        <f>'Avaliação e Simulações'!AB3</f>
        <v>6.1386685106044991</v>
      </c>
      <c r="BE9" s="95">
        <f>'Avaliação e Simulações'!AC3</f>
        <v>6.1988515352182691</v>
      </c>
      <c r="BF9" s="95">
        <f>'Avaliação e Simulações'!AD3</f>
        <v>6.2596245894851146</v>
      </c>
      <c r="BG9" s="95">
        <f>'Avaliação e Simulações'!AE3</f>
        <v>6.3209934580094789</v>
      </c>
      <c r="BH9" s="95">
        <f>'Avaliação e Simulações'!AF3</f>
        <v>6.3829639821076105</v>
      </c>
      <c r="BI9" s="95">
        <f>'Avaliação e Simulações'!AG3</f>
        <v>6.445542060363568</v>
      </c>
      <c r="BJ9" s="95">
        <f>'Avaliação e Simulações'!AH3</f>
        <v>6.5087336491906616</v>
      </c>
      <c r="BK9" s="95">
        <f>'Avaliação e Simulações'!AI3</f>
        <v>6.5725447633984135</v>
      </c>
      <c r="BL9" s="95">
        <f>'Avaliação e Simulações'!AJ3</f>
        <v>6.6369814767650652</v>
      </c>
      <c r="BM9" s="95">
        <f>'Avaliação e Simulações'!AK3</f>
        <v>6.7020499226157026</v>
      </c>
      <c r="BN9" s="95">
        <f>'Avaliação e Simulações'!AL3</f>
        <v>6.7677562944060528</v>
      </c>
      <c r="BO9" s="95">
        <f>'Avaliação e Simulações'!AM3</f>
        <v>6.8341068463119949</v>
      </c>
      <c r="BP9" s="95">
        <f>'Avaliação e Simulações'!AN3</f>
        <v>6.9011078938248582</v>
      </c>
      <c r="BQ9" s="95">
        <f>'Avaliação e Simulações'!AO3</f>
        <v>6.9687658143525528</v>
      </c>
      <c r="BR9" s="95">
        <f>'Avaliação e Simulações'!AP3</f>
        <v>7.0370870478265974</v>
      </c>
      <c r="BS9" s="95">
        <f>'Avaliação e Simulações'!AQ3</f>
        <v>7.106078097315093</v>
      </c>
      <c r="BT9" s="95">
        <f>'Avaliação e Simulações'!AR3</f>
        <v>7.175745529641711</v>
      </c>
      <c r="BU9" s="95">
        <f>'Avaliação e Simulações'!AS3</f>
        <v>7.2460959760107482</v>
      </c>
      <c r="BV9" s="95">
        <f>'Avaliação e Simulações'!AT3</f>
        <v>7.3171361326383053</v>
      </c>
      <c r="BW9" s="95">
        <f>'Avaliação e Simulações'!AU3</f>
        <v>7.3888727613896608</v>
      </c>
    </row>
    <row r="10" spans="1:75" x14ac:dyDescent="0.3">
      <c r="C10" s="68"/>
    </row>
    <row r="11" spans="1:75" x14ac:dyDescent="0.3">
      <c r="A11" s="1" t="s">
        <v>1178</v>
      </c>
      <c r="C11" s="51">
        <f>'Receita Líquida - O&amp;G'!C26+'Receita Líquida - O&amp;G'!C59*0.17245496</f>
        <v>2452</v>
      </c>
      <c r="D11" s="51">
        <f>'Receita Líquida - O&amp;G'!D26+'Receita Líquida - O&amp;G'!D59*0.17245496</f>
        <v>1774</v>
      </c>
      <c r="E11" s="51">
        <f>'Receita Líquida - O&amp;G'!E26+'Receita Líquida - O&amp;G'!E59*0.17245496</f>
        <v>2683</v>
      </c>
      <c r="F11" s="51">
        <f>'Receita Líquida - O&amp;G'!F26+'Receita Líquida - O&amp;G'!F59*0.17245496</f>
        <v>3082</v>
      </c>
      <c r="G11" s="51">
        <f>'Receita Líquida - O&amp;G'!G26+'Receita Líquida - O&amp;G'!G59*0.17245496</f>
        <v>9991</v>
      </c>
      <c r="H11" s="51">
        <f>'Receita Líquida - O&amp;G'!H26+'Receita Líquida - O&amp;G'!H59*0.17245496</f>
        <v>1520.471</v>
      </c>
      <c r="I11" s="51">
        <f>'Receita Líquida - O&amp;G'!I26+'Receita Líquida - O&amp;G'!I59*0.17245496</f>
        <v>2000</v>
      </c>
      <c r="J11" s="51">
        <f>'Receita Líquida - O&amp;G'!J26+'Receita Líquida - O&amp;G'!J59*0.17245496</f>
        <v>1503</v>
      </c>
      <c r="K11" s="51">
        <f>'Receita Líquida - O&amp;G'!K26+'Receita Líquida - O&amp;G'!K59*0.17245496</f>
        <v>2328</v>
      </c>
      <c r="L11" s="51">
        <f>'Receita Líquida - O&amp;G'!L26+'Receita Líquida - O&amp;G'!L59*0.17245496</f>
        <v>7351.4709999999995</v>
      </c>
      <c r="M11" s="51">
        <f>'Receita Líquida - O&amp;G'!M26+'Receita Líquida - O&amp;G'!M59*0.17245496</f>
        <v>1452</v>
      </c>
      <c r="N11" s="51">
        <f>'Receita Líquida - O&amp;G'!N26+'Receita Líquida - O&amp;G'!N59*0.17245496</f>
        <v>1397</v>
      </c>
      <c r="O11" s="51">
        <f>'Receita Líquida - O&amp;G'!O26+'Receita Líquida - O&amp;G'!O59*0.17245496</f>
        <v>2398</v>
      </c>
      <c r="P11" s="51">
        <f>'Receita Líquida - O&amp;G'!P26+'Receita Líquida - O&amp;G'!P59*0.17245496</f>
        <v>3725</v>
      </c>
      <c r="Q11" s="51">
        <f>'Receita Líquida - O&amp;G'!Q26+'Receita Líquida - O&amp;G'!Q59*0.17245496</f>
        <v>8972</v>
      </c>
      <c r="R11" s="51">
        <f>'Receita Líquida - O&amp;G'!R26+'Receita Líquida - O&amp;G'!R59*0.17245496</f>
        <v>1928</v>
      </c>
      <c r="S11" s="51">
        <f>'Receita Líquida - O&amp;G'!S26+'Receita Líquida - O&amp;G'!S59*0.17245496</f>
        <v>2837</v>
      </c>
      <c r="T11" s="51">
        <f>'Receita Líquida - O&amp;G'!T26+'Receita Líquida - O&amp;G'!T59*0.17245496</f>
        <v>2484</v>
      </c>
      <c r="U11" s="51">
        <f>'Receita Líquida - O&amp;G'!U26+'Receita Líquida - O&amp;G'!U59*0.17245496</f>
        <v>3827</v>
      </c>
      <c r="V11" s="51">
        <f>'Receita Líquida - O&amp;G'!V26+'Receita Líquida - O&amp;G'!V59*0.17245496</f>
        <v>11076</v>
      </c>
      <c r="W11" s="51">
        <f>'Receita Líquida - O&amp;G'!W26+'Receita Líquida - O&amp;G'!W59*0.17245496</f>
        <v>2798</v>
      </c>
      <c r="X11" s="51">
        <f>'Receita Líquida - O&amp;G'!X26+'Receita Líquida - O&amp;G'!X59*0.17245496</f>
        <v>3347</v>
      </c>
      <c r="Y11" s="51">
        <f>'Receita Líquida - O&amp;G'!Y26+'Receita Líquida - O&amp;G'!Y59*0.17245496</f>
        <v>3847</v>
      </c>
      <c r="Z11" s="51">
        <f>'Receita Líquida - O&amp;G'!Z26+'Receita Líquida - O&amp;G'!Z59*0.17245496</f>
        <v>2293</v>
      </c>
      <c r="AA11" s="51">
        <f>'Receita Líquida - O&amp;G'!AA26+'Receita Líquida - O&amp;G'!AA59*0.17245496</f>
        <v>12285</v>
      </c>
      <c r="AB11" s="51">
        <f>'Receita Líquida - O&amp;G'!AB26+'Receita Líquida - O&amp;G'!AB59*0.17245496</f>
        <v>7290</v>
      </c>
      <c r="AC11" s="51">
        <f>'Receita Líquida - O&amp;G'!AC26+'Receita Líquida - O&amp;G'!AC59*0.17245496</f>
        <v>7156</v>
      </c>
      <c r="AD11" s="51">
        <f>'Receita Líquida - O&amp;G'!AD26+'Receita Líquida - O&amp;G'!AD59*0.17245496</f>
        <v>9772</v>
      </c>
      <c r="AE11" s="51">
        <f>'Receita Líquida - O&amp;G'!AE26+'Receita Líquida - O&amp;G'!AE59*0.17245496</f>
        <v>8343</v>
      </c>
      <c r="AF11" s="51">
        <f>'Receita Líquida - O&amp;G'!AF26+'Receita Líquida - O&amp;G'!AF59*0.17245496</f>
        <v>32561</v>
      </c>
      <c r="AG11" s="51">
        <f ca="1">'Receita Líquida - O&amp;G'!AG26+'Receita Líquida - O&amp;G'!AG59*0.17245496</f>
        <v>43523.297763867173</v>
      </c>
      <c r="AH11" s="51">
        <f ca="1">'Receita Líquida - O&amp;G'!AH26+'Receita Líquida - O&amp;G'!AH59*0.17245496</f>
        <v>58019.124530297122</v>
      </c>
      <c r="AI11" s="51">
        <f ca="1">'Receita Líquida - O&amp;G'!AI26+'Receita Líquida - O&amp;G'!AI59*0.17245496</f>
        <v>62023.685801669584</v>
      </c>
      <c r="AJ11" s="51">
        <f ca="1">'Receita Líquida - O&amp;G'!AJ26+'Receita Líquida - O&amp;G'!AJ59*0.17245496</f>
        <v>65754.672833032848</v>
      </c>
      <c r="AK11" s="51">
        <f ca="1">'Receita Líquida - O&amp;G'!AK26+'Receita Líquida - O&amp;G'!AK59*0.17245496</f>
        <v>65148.46561838562</v>
      </c>
      <c r="AL11" s="51">
        <f ca="1">'Receita Líquida - O&amp;G'!AL26+'Receita Líquida - O&amp;G'!AL59*0.17245496</f>
        <v>66252.472996001292</v>
      </c>
      <c r="AM11" s="51">
        <f ca="1">'Receita Líquida - O&amp;G'!AM26+'Receita Líquida - O&amp;G'!AM59*0.17245496</f>
        <v>59832.799719761759</v>
      </c>
      <c r="AN11" s="51">
        <f ca="1">'Receita Líquida - O&amp;G'!AN26+'Receita Líquida - O&amp;G'!AN59*0.17245496</f>
        <v>50280.094703258212</v>
      </c>
      <c r="AO11" s="51">
        <f ca="1">'Receita Líquida - O&amp;G'!AO26+'Receita Líquida - O&amp;G'!AO59*0.17245496</f>
        <v>43086.795956626811</v>
      </c>
      <c r="AP11" s="51">
        <f ca="1">'Receita Líquida - O&amp;G'!AP26+'Receita Líquida - O&amp;G'!AP59*0.17245496</f>
        <v>37401.202617402269</v>
      </c>
      <c r="AQ11" s="51">
        <f ca="1">'Receita Líquida - O&amp;G'!AQ26+'Receita Líquida - O&amp;G'!AQ59*0.17245496</f>
        <v>32769.959973683195</v>
      </c>
      <c r="AR11" s="51">
        <f ca="1">'Receita Líquida - O&amp;G'!AR26+'Receita Líquida - O&amp;G'!AR59*0.17245496</f>
        <v>28353.535661687059</v>
      </c>
      <c r="AS11" s="51">
        <f ca="1">'Receita Líquida - O&amp;G'!AS26+'Receita Líquida - O&amp;G'!AS59*0.17245496</f>
        <v>24169.615070156382</v>
      </c>
      <c r="AT11" s="51">
        <f ca="1">'Receita Líquida - O&amp;G'!AT26+'Receita Líquida - O&amp;G'!AT59*0.17245496</f>
        <v>20704.032004536843</v>
      </c>
      <c r="AU11" s="51">
        <f ca="1">'Receita Líquida - O&amp;G'!AU26+'Receita Líquida - O&amp;G'!AU59*0.17245496</f>
        <v>18190.242051858157</v>
      </c>
      <c r="AV11" s="51">
        <f ca="1">'Receita Líquida - O&amp;G'!AV26+'Receita Líquida - O&amp;G'!AV59*0.17245496</f>
        <v>15702.902285133843</v>
      </c>
      <c r="AW11" s="51">
        <f ca="1">'Receita Líquida - O&amp;G'!AW26+'Receita Líquida - O&amp;G'!AW59*0.17245496</f>
        <v>12344</v>
      </c>
      <c r="AX11" s="51">
        <f ca="1">'Receita Líquida - O&amp;G'!AX26+'Receita Líquida - O&amp;G'!AX59*0.17245496</f>
        <v>10815</v>
      </c>
      <c r="AY11" s="51">
        <f ca="1">'Receita Líquida - O&amp;G'!AY26+'Receita Líquida - O&amp;G'!AY59*0.17245496</f>
        <v>9503</v>
      </c>
      <c r="AZ11" s="51">
        <f ca="1">'Receita Líquida - O&amp;G'!AZ26+'Receita Líquida - O&amp;G'!AZ59*0.17245496</f>
        <v>8310</v>
      </c>
      <c r="BA11" s="51">
        <f ca="1">'Receita Líquida - O&amp;G'!BA26+'Receita Líquida - O&amp;G'!BA59*0.17245496</f>
        <v>7380</v>
      </c>
      <c r="BB11" s="51">
        <f ca="1">'Receita Líquida - O&amp;G'!BB26+'Receita Líquida - O&amp;G'!BB59*0.17245496</f>
        <v>6410</v>
      </c>
      <c r="BC11" s="51">
        <f ca="1">'Receita Líquida - O&amp;G'!BC26+'Receita Líquida - O&amp;G'!BC59*0.17245496</f>
        <v>5809</v>
      </c>
      <c r="BD11" s="51">
        <f ca="1">'Receita Líquida - O&amp;G'!BD26+'Receita Líquida - O&amp;G'!BD59*0.17245496</f>
        <v>5326</v>
      </c>
      <c r="BE11" s="51">
        <f ca="1">'Receita Líquida - O&amp;G'!BE26+'Receita Líquida - O&amp;G'!BE59*0.17245496</f>
        <v>4915</v>
      </c>
      <c r="BF11" s="51">
        <f ca="1">'Receita Líquida - O&amp;G'!BF26+'Receita Líquida - O&amp;G'!BF59*0.17245496</f>
        <v>4307</v>
      </c>
      <c r="BG11" s="51">
        <f ca="1">'Receita Líquida - O&amp;G'!BG26+'Receita Líquida - O&amp;G'!BG59*0.17245496</f>
        <v>3925</v>
      </c>
      <c r="BH11" s="51">
        <f ca="1">'Receita Líquida - O&amp;G'!BH26+'Receita Líquida - O&amp;G'!BH59*0.17245496</f>
        <v>3653</v>
      </c>
      <c r="BI11" s="51">
        <f ca="1">'Receita Líquida - O&amp;G'!BI26+'Receita Líquida - O&amp;G'!BI59*0.17245496</f>
        <v>2290</v>
      </c>
      <c r="BJ11" s="51">
        <f ca="1">'Receita Líquida - O&amp;G'!BJ26+'Receita Líquida - O&amp;G'!BJ59*0.17245496</f>
        <v>0</v>
      </c>
      <c r="BK11" s="51">
        <f ca="1">'Receita Líquida - O&amp;G'!BK26+'Receita Líquida - O&amp;G'!BK59*0.17245496</f>
        <v>0</v>
      </c>
      <c r="BL11" s="51">
        <f ca="1">'Receita Líquida - O&amp;G'!BL26+'Receita Líquida - O&amp;G'!BL59*0.17245496</f>
        <v>0</v>
      </c>
      <c r="BM11" s="51">
        <f ca="1">'Receita Líquida - O&amp;G'!BM26+'Receita Líquida - O&amp;G'!BM59*0.17245496</f>
        <v>0</v>
      </c>
      <c r="BN11" s="51">
        <f ca="1">'Receita Líquida - O&amp;G'!BN26+'Receita Líquida - O&amp;G'!BN59*0.17245496</f>
        <v>0</v>
      </c>
      <c r="BO11" s="51">
        <f ca="1">'Receita Líquida - O&amp;G'!BO26+'Receita Líquida - O&amp;G'!BO59*0.17245496</f>
        <v>0</v>
      </c>
      <c r="BP11" s="51">
        <f ca="1">'Receita Líquida - O&amp;G'!BP26+'Receita Líquida - O&amp;G'!BP59*0.17245496</f>
        <v>0</v>
      </c>
      <c r="BQ11" s="51">
        <f ca="1">'Receita Líquida - O&amp;G'!BQ26+'Receita Líquida - O&amp;G'!BQ59*0.17245496</f>
        <v>0</v>
      </c>
      <c r="BR11" s="51">
        <f ca="1">'Receita Líquida - O&amp;G'!BR26+'Receita Líquida - O&amp;G'!BR59*0.17245496</f>
        <v>0</v>
      </c>
      <c r="BS11" s="51">
        <f ca="1">'Receita Líquida - O&amp;G'!BS26+'Receita Líquida - O&amp;G'!BS59*0.17245496</f>
        <v>0</v>
      </c>
      <c r="BT11" s="51">
        <f ca="1">'Receita Líquida - O&amp;G'!BT26+'Receita Líquida - O&amp;G'!BT59*0.17245496</f>
        <v>0</v>
      </c>
      <c r="BU11" s="51">
        <f ca="1">'Receita Líquida - O&amp;G'!BU26+'Receita Líquida - O&amp;G'!BU59*0.17245496</f>
        <v>0</v>
      </c>
      <c r="BV11" s="51">
        <f ca="1">'Receita Líquida - O&amp;G'!BV26+'Receita Líquida - O&amp;G'!BV59*0.17245496</f>
        <v>0</v>
      </c>
      <c r="BW11" s="51">
        <f ca="1">'Receita Líquida - O&amp;G'!BW26+'Receita Líquida - O&amp;G'!BW59*0.17245496</f>
        <v>0</v>
      </c>
    </row>
    <row r="12" spans="1:75" x14ac:dyDescent="0.3">
      <c r="C12" s="68"/>
    </row>
    <row r="13" spans="1:75" s="39" customFormat="1" x14ac:dyDescent="0.3">
      <c r="A13" s="40" t="s">
        <v>247</v>
      </c>
    </row>
    <row r="15" spans="1:75" x14ac:dyDescent="0.3">
      <c r="A15" s="1" t="s">
        <v>111</v>
      </c>
      <c r="R15" s="100"/>
      <c r="S15" s="100"/>
      <c r="T15" s="100"/>
      <c r="U15" s="100"/>
      <c r="V15" s="100"/>
      <c r="W15" s="100"/>
      <c r="X15" s="100"/>
      <c r="Y15" s="100"/>
      <c r="Z15" s="100"/>
      <c r="AA15" s="100"/>
      <c r="AB15" s="100"/>
      <c r="AC15" s="100"/>
      <c r="AD15" s="100"/>
    </row>
    <row r="16" spans="1:75" x14ac:dyDescent="0.3">
      <c r="A16" s="38" t="s">
        <v>179</v>
      </c>
      <c r="B16" s="38"/>
      <c r="C16" s="51">
        <f>'DRE - Economática'!AI193</f>
        <v>117155</v>
      </c>
      <c r="D16" s="51">
        <f>'DRE - Economática'!AJ193-C16</f>
        <v>239405</v>
      </c>
      <c r="E16" s="51">
        <f>'DRE - Economática'!AK193-D16-C16</f>
        <v>224627</v>
      </c>
      <c r="F16" s="51">
        <f>'DRE - Economática'!AL193-E16-D16-C16</f>
        <v>267733</v>
      </c>
      <c r="G16" s="48">
        <f>SUM(C16:F16)</f>
        <v>848920</v>
      </c>
      <c r="H16" s="51">
        <f>'DRE - Economática'!AM193</f>
        <v>139431</v>
      </c>
      <c r="I16" s="51">
        <f>'DRE - Economática'!AN193-H16</f>
        <v>547875</v>
      </c>
      <c r="J16" s="51">
        <f>'DRE - Economática'!AO193-I16-H16</f>
        <v>399045</v>
      </c>
      <c r="K16" s="51">
        <f>'DRE - Economática'!AP193-J16-I16-H16</f>
        <v>557995</v>
      </c>
      <c r="L16" s="48">
        <f>SUM(H16:K16)</f>
        <v>1644346</v>
      </c>
      <c r="M16" s="51">
        <f>'DRE - Economática'!AQ193</f>
        <v>223162</v>
      </c>
      <c r="N16" s="51">
        <f>'DRE - Economática'!AR193-M16</f>
        <v>312293</v>
      </c>
      <c r="O16" s="51">
        <f>'DRE - Economática'!AS193-N16-M16</f>
        <v>488695</v>
      </c>
      <c r="P16" s="51">
        <f>'DRE - Economática'!AT193-O16-N16-M16</f>
        <v>880035</v>
      </c>
      <c r="Q16" s="48">
        <f>SUM(M16:P16)</f>
        <v>1904185</v>
      </c>
      <c r="R16" s="51">
        <f>'DRE - Economática'!AU193</f>
        <v>655334</v>
      </c>
      <c r="S16" s="51">
        <f>'DRE - Economática'!AV193-R16</f>
        <v>1022837</v>
      </c>
      <c r="T16" s="51">
        <f>'DRE - Economática'!AW193-S16-R16</f>
        <v>939517</v>
      </c>
      <c r="U16" s="51">
        <f>'DRE - Economática'!AX193-T16-S16-R16</f>
        <v>1778315</v>
      </c>
      <c r="V16" s="48">
        <f>SUM(R16:U16)</f>
        <v>4396003</v>
      </c>
      <c r="W16" s="51">
        <f>'DRE - Economática'!AY193</f>
        <v>1529995</v>
      </c>
      <c r="X16" s="51">
        <f>'DRE - Economática'!AZ193-W16</f>
        <v>1873985</v>
      </c>
      <c r="Y16" s="51">
        <f>'DRE - Economática'!BA193-X16-W16</f>
        <v>1985786</v>
      </c>
      <c r="Z16" s="51">
        <f>'DRE - Economática'!BB193-Y16-X16-W16</f>
        <v>973709</v>
      </c>
      <c r="AA16" s="48">
        <f>SUM(W16:Z16)</f>
        <v>6363475</v>
      </c>
      <c r="AB16" s="51">
        <f>(-('DRE - Economática'!BC193))*-1</f>
        <v>2814955</v>
      </c>
      <c r="AC16" s="51">
        <f>(-('DRE - Economática'!BD193-'DRE - Economática'!BC193))*-1</f>
        <v>2311206</v>
      </c>
      <c r="AD16" s="51">
        <f>(-('DRE - Economática'!BE193-'DRE - Economática'!BD193))*-1</f>
        <v>3783682</v>
      </c>
      <c r="AE16" s="51">
        <f>(-('DRE - Economática'!BF193-'DRE - Economática'!BE193))*-1</f>
        <v>2995198</v>
      </c>
      <c r="AF16" s="51">
        <f>SUM(AB16:AE16)</f>
        <v>11905041</v>
      </c>
      <c r="AG16" s="48">
        <f ca="1">('Receita Líquida - O&amp;G'!AG79+'Receita Líquida - O&amp;G'!AG40)*1000</f>
        <v>16390386.78087198</v>
      </c>
      <c r="AH16" s="48">
        <f ca="1">('Receita Líquida - O&amp;G'!AH79+'Receita Líquida - O&amp;G'!AH40)*1000</f>
        <v>20323351.780034315</v>
      </c>
      <c r="AI16" s="48">
        <f ca="1">('Receita Líquida - O&amp;G'!AI79+'Receita Líquida - O&amp;G'!AI40)*1000</f>
        <v>20721904.899899654</v>
      </c>
      <c r="AJ16" s="48">
        <f ca="1">('Receita Líquida - O&amp;G'!AJ79+'Receita Líquida - O&amp;G'!AJ40)*1000</f>
        <v>21323319.09452197</v>
      </c>
      <c r="AK16" s="48">
        <f ca="1">('Receita Líquida - O&amp;G'!AK79+'Receita Líquida - O&amp;G'!AK40)*1000</f>
        <v>20553244.297288332</v>
      </c>
      <c r="AL16" s="48">
        <f ca="1">('Receita Líquida - O&amp;G'!AL79+'Receita Líquida - O&amp;G'!AL40)*1000</f>
        <v>20781192.835271839</v>
      </c>
      <c r="AM16" s="48">
        <f ca="1">('Receita Líquida - O&amp;G'!AM79+'Receita Líquida - O&amp;G'!AM40)*1000</f>
        <v>18961693.826721907</v>
      </c>
      <c r="AN16" s="48">
        <f ca="1">('Receita Líquida - O&amp;G'!AN79+'Receita Líquida - O&amp;G'!AN40)*1000</f>
        <v>16224666.620542247</v>
      </c>
      <c r="AO16" s="48">
        <f ca="1">('Receita Líquida - O&amp;G'!AO79+'Receita Líquida - O&amp;G'!AO40)*1000</f>
        <v>14451927.383099908</v>
      </c>
      <c r="AP16" s="48">
        <f ca="1">('Receita Líquida - O&amp;G'!AP79+'Receita Líquida - O&amp;G'!AP40)*1000</f>
        <v>13007420.420359002</v>
      </c>
      <c r="AQ16" s="48">
        <f ca="1">('Receita Líquida - O&amp;G'!AQ79+'Receita Líquida - O&amp;G'!AQ40)*1000</f>
        <v>11798203.427187698</v>
      </c>
      <c r="AR16" s="48">
        <f ca="1">('Receita Líquida - O&amp;G'!AR79+'Receita Líquida - O&amp;G'!AR40)*1000</f>
        <v>10570288.890776379</v>
      </c>
      <c r="AS16" s="48">
        <f ca="1">('Receita Líquida - O&amp;G'!AS79+'Receita Líquida - O&amp;G'!AS40)*1000</f>
        <v>9331665.7179269642</v>
      </c>
      <c r="AT16" s="48">
        <f ca="1">('Receita Líquida - O&amp;G'!AT79+'Receita Líquida - O&amp;G'!AT40)*1000</f>
        <v>8275151.7275991775</v>
      </c>
      <c r="AU16" s="48">
        <f ca="1">('Receita Líquida - O&amp;G'!AU79+'Receita Líquida - O&amp;G'!AU40)*1000</f>
        <v>7515560.0073167263</v>
      </c>
      <c r="AV16" s="48">
        <f ca="1">('Receita Líquida - O&amp;G'!AV79+'Receita Líquida - O&amp;G'!AV40)*1000</f>
        <v>6860556.0599817354</v>
      </c>
      <c r="AW16" s="48">
        <f ca="1">('Receita Líquida - O&amp;G'!AW79+'Receita Líquida - O&amp;G'!AW40)*1000</f>
        <v>5568699.9780870378</v>
      </c>
      <c r="AX16" s="48">
        <f ca="1">('Receita Líquida - O&amp;G'!AX79+'Receita Líquida - O&amp;G'!AX40)*1000</f>
        <v>5025652.8041598415</v>
      </c>
      <c r="AY16" s="48">
        <f ca="1">('Receita Líquida - O&amp;G'!AY79+'Receita Líquida - O&amp;G'!AY40)*1000</f>
        <v>4549195.912382327</v>
      </c>
      <c r="AZ16" s="48">
        <f ca="1">('Receita Líquida - O&amp;G'!AZ79+'Receita Líquida - O&amp;G'!AZ40)*1000</f>
        <v>4098515.4558692994</v>
      </c>
      <c r="BA16" s="48">
        <f ca="1">('Receita Líquida - O&amp;G'!BA79+'Receita Líquida - O&amp;G'!BA40)*1000</f>
        <v>3749819.1320893974</v>
      </c>
      <c r="BB16" s="48">
        <f ca="1">('Receita Líquida - O&amp;G'!BB79+'Receita Líquida - O&amp;G'!BB40)*1000</f>
        <v>3355803.2444751463</v>
      </c>
      <c r="BC16" s="48">
        <f ca="1">('Receita Líquida - O&amp;G'!BC79+'Receita Líquida - O&amp;G'!BC40)*1000</f>
        <v>3132287.1289879899</v>
      </c>
      <c r="BD16" s="48">
        <f ca="1">('Receita Líquida - O&amp;G'!BD79+'Receita Líquida - O&amp;G'!BD40)*1000</f>
        <v>2957779.8214273546</v>
      </c>
      <c r="BE16" s="48">
        <f ca="1">('Receita Líquida - O&amp;G'!BE79+'Receita Líquida - O&amp;G'!BE40)*1000</f>
        <v>2810630.5580406166</v>
      </c>
      <c r="BF16" s="48">
        <f ca="1">('Receita Líquida - O&amp;G'!BF79+'Receita Líquida - O&amp;G'!BF40)*1000</f>
        <v>2536883.2537542437</v>
      </c>
      <c r="BG16" s="48">
        <f ca="1">('Receita Líquida - O&amp;G'!BG79+'Receita Líquida - O&amp;G'!BG40)*1000</f>
        <v>2382496.4886306101</v>
      </c>
      <c r="BH16" s="48">
        <f ca="1">('Receita Líquida - O&amp;G'!BH79+'Receita Líquida - O&amp;G'!BH40)*1000</f>
        <v>2285037.7475453387</v>
      </c>
      <c r="BI16" s="48">
        <f ca="1">('Receita Líquida - O&amp;G'!BI79+'Receita Líquida - O&amp;G'!BI40)*1000</f>
        <v>1476559.1882033877</v>
      </c>
      <c r="BJ16" s="48">
        <f ca="1">('Receita Líquida - O&amp;G'!BJ79+'Receita Líquida - O&amp;G'!BJ40)*1000</f>
        <v>0</v>
      </c>
      <c r="BK16" s="48">
        <f ca="1">('Receita Líquida - O&amp;G'!BK79+'Receita Líquida - O&amp;G'!BK40)*1000</f>
        <v>0</v>
      </c>
      <c r="BL16" s="48">
        <f ca="1">('Receita Líquida - O&amp;G'!BL79+'Receita Líquida - O&amp;G'!BL40)*1000</f>
        <v>0</v>
      </c>
      <c r="BM16" s="48">
        <f ca="1">('Receita Líquida - O&amp;G'!BM79+'Receita Líquida - O&amp;G'!BM40)*1000</f>
        <v>0</v>
      </c>
      <c r="BN16" s="48">
        <f ca="1">('Receita Líquida - O&amp;G'!BN79+'Receita Líquida - O&amp;G'!BN40)*1000</f>
        <v>0</v>
      </c>
      <c r="BO16" s="48">
        <f ca="1">('Receita Líquida - O&amp;G'!BO79+'Receita Líquida - O&amp;G'!BO40)*1000</f>
        <v>0</v>
      </c>
      <c r="BP16" s="48">
        <f ca="1">('Receita Líquida - O&amp;G'!BP79+'Receita Líquida - O&amp;G'!BP40)*1000</f>
        <v>0</v>
      </c>
      <c r="BQ16" s="48">
        <f ca="1">('Receita Líquida - O&amp;G'!BQ79+'Receita Líquida - O&amp;G'!BQ40)*1000</f>
        <v>0</v>
      </c>
      <c r="BR16" s="48">
        <f ca="1">('Receita Líquida - O&amp;G'!BR79+'Receita Líquida - O&amp;G'!BR40)*1000</f>
        <v>0</v>
      </c>
      <c r="BS16" s="48">
        <f ca="1">('Receita Líquida - O&amp;G'!BS79+'Receita Líquida - O&amp;G'!BS40)*1000</f>
        <v>0</v>
      </c>
      <c r="BT16" s="48">
        <f ca="1">('Receita Líquida - O&amp;G'!BT79+'Receita Líquida - O&amp;G'!BT40)*1000</f>
        <v>0</v>
      </c>
      <c r="BU16" s="48">
        <f ca="1">('Receita Líquida - O&amp;G'!BU79+'Receita Líquida - O&amp;G'!BU40)*1000</f>
        <v>0</v>
      </c>
      <c r="BV16" s="48">
        <f ca="1">('Receita Líquida - O&amp;G'!BV79+'Receita Líquida - O&amp;G'!BV40)*1000</f>
        <v>0</v>
      </c>
      <c r="BW16" s="48">
        <f ca="1">('Receita Líquida - O&amp;G'!BW79+'Receita Líquida - O&amp;G'!BW40)*1000</f>
        <v>0</v>
      </c>
    </row>
    <row r="17" spans="1:75" x14ac:dyDescent="0.3">
      <c r="A17" s="1" t="s">
        <v>180</v>
      </c>
      <c r="C17" s="51">
        <f>-'DRE - Economática'!AI194</f>
        <v>-93692</v>
      </c>
      <c r="D17" s="51">
        <f>-'DRE - Economática'!AJ194-C17</f>
        <v>-147467</v>
      </c>
      <c r="E17" s="51">
        <f>-'DRE - Economática'!AK194-D17-C17</f>
        <v>-116987</v>
      </c>
      <c r="F17" s="51">
        <f>-'DRE - Economática'!AL194-E17-D17-C17</f>
        <v>-170663</v>
      </c>
      <c r="G17" s="51">
        <f>SUM(C17:F17)</f>
        <v>-528809</v>
      </c>
      <c r="H17" s="51">
        <f>-'DRE - Economática'!AM194</f>
        <v>-96529</v>
      </c>
      <c r="I17" s="51">
        <f>-'DRE - Economática'!AN194-H17</f>
        <v>-268451</v>
      </c>
      <c r="J17" s="51">
        <f>-'DRE - Economática'!AO194-I17-H17</f>
        <v>-232375</v>
      </c>
      <c r="K17" s="51">
        <f>-'DRE - Economática'!AP194-J17-I17-H17</f>
        <v>-343024</v>
      </c>
      <c r="L17" s="51">
        <f>SUM(H17:K17)</f>
        <v>-940379</v>
      </c>
      <c r="M17" s="51">
        <f>-'DRE - Economática'!AQ194</f>
        <v>-206826</v>
      </c>
      <c r="N17" s="51">
        <f>-'DRE - Economática'!AR194-M17</f>
        <v>-225736</v>
      </c>
      <c r="O17" s="51">
        <f>-'DRE - Economática'!AS194-N17-M17</f>
        <v>-319310</v>
      </c>
      <c r="P17" s="51">
        <f>-'DRE - Economática'!AT194-O17-N17-M17</f>
        <v>-535054</v>
      </c>
      <c r="Q17" s="51">
        <f>SUM(M17:P17)</f>
        <v>-1286926</v>
      </c>
      <c r="R17" s="51">
        <f>-'DRE - Economática'!AU194</f>
        <v>-236531</v>
      </c>
      <c r="S17" s="51">
        <f>-'DRE - Economática'!AV194-R17</f>
        <v>-468563</v>
      </c>
      <c r="T17" s="51">
        <f>-'DRE - Economática'!AW194-S17-R17</f>
        <v>-453256</v>
      </c>
      <c r="U17" s="51">
        <f>-'DRE - Economática'!AX194-T17-S17-R17</f>
        <v>-725008</v>
      </c>
      <c r="V17" s="51">
        <f>SUM(R17:U17)</f>
        <v>-1883358</v>
      </c>
      <c r="W17" s="51">
        <f>-'DRE - Economática'!AY194</f>
        <v>-462095</v>
      </c>
      <c r="X17" s="51">
        <f>-'DRE - Economática'!AZ194-W17</f>
        <v>-657336</v>
      </c>
      <c r="Y17" s="51">
        <f>-'DRE - Economática'!BA194-X17-W17</f>
        <v>-612311</v>
      </c>
      <c r="Z17" s="51">
        <f>-'DRE - Economática'!BB194-Y17-X17-W17</f>
        <v>-374561</v>
      </c>
      <c r="AA17" s="51">
        <f>SUM(W17:Z17)</f>
        <v>-2106303</v>
      </c>
      <c r="AB17" s="51">
        <f>-('DRE - Economática'!BC194)</f>
        <v>-981886</v>
      </c>
      <c r="AC17" s="51">
        <f>-('DRE - Economática'!BD194)-AB17</f>
        <v>-843072</v>
      </c>
      <c r="AD17" s="51">
        <f>-('DRE - Economática'!BE194)-AC17-AB17</f>
        <v>-1627598</v>
      </c>
      <c r="AE17" s="51">
        <f>-('DRE - Economática'!BF194)-AD17-AC17-AB17</f>
        <v>-793581</v>
      </c>
      <c r="AF17" s="51">
        <f>SUM(AB17:AE17)</f>
        <v>-4246137</v>
      </c>
      <c r="AG17" s="51">
        <f ca="1">IFERROR(AG18+AG20+AG22+AG24,0)</f>
        <v>-4812148.66651408</v>
      </c>
      <c r="AH17" s="51">
        <f t="shared" ref="AH17:BL17" ca="1" si="3">IFERROR(AH18+AH20+AH22+AH24,0)</f>
        <v>-5929624.670384448</v>
      </c>
      <c r="AI17" s="51">
        <f t="shared" ca="1" si="3"/>
        <v>-6613957.383200312</v>
      </c>
      <c r="AJ17" s="51">
        <f t="shared" ca="1" si="3"/>
        <v>-7232512.276420366</v>
      </c>
      <c r="AK17" s="51">
        <f t="shared" ca="1" si="3"/>
        <v>-7525688.9450110588</v>
      </c>
      <c r="AL17" s="51">
        <f t="shared" ca="1" si="3"/>
        <v>-7715492.4389519189</v>
      </c>
      <c r="AM17" s="51">
        <f t="shared" ca="1" si="3"/>
        <v>-6977118.4605563749</v>
      </c>
      <c r="AN17" s="51">
        <f t="shared" ca="1" si="3"/>
        <v>-5803350.2774851248</v>
      </c>
      <c r="AO17" s="51">
        <f t="shared" ca="1" si="3"/>
        <v>-5015083.248903201</v>
      </c>
      <c r="AP17" s="51">
        <f t="shared" ca="1" si="3"/>
        <v>-4606094.3976703333</v>
      </c>
      <c r="AQ17" s="51">
        <f t="shared" ca="1" si="3"/>
        <v>-4062587.165717137</v>
      </c>
      <c r="AR17" s="51">
        <f t="shared" ca="1" si="3"/>
        <v>-3560960.0994159319</v>
      </c>
      <c r="AS17" s="51">
        <f t="shared" ca="1" si="3"/>
        <v>-3083651.4577994379</v>
      </c>
      <c r="AT17" s="51">
        <f t="shared" ca="1" si="3"/>
        <v>-2702418.3428097293</v>
      </c>
      <c r="AU17" s="51">
        <f t="shared" ca="1" si="3"/>
        <v>-2387074.2940274673</v>
      </c>
      <c r="AV17" s="51">
        <f t="shared" ca="1" si="3"/>
        <v>-2042705.787543834</v>
      </c>
      <c r="AW17" s="51">
        <f t="shared" ca="1" si="3"/>
        <v>-1686291.0214034542</v>
      </c>
      <c r="AX17" s="51">
        <f t="shared" ca="1" si="3"/>
        <v>-1506496.14636927</v>
      </c>
      <c r="AY17" s="51">
        <f t="shared" ca="1" si="3"/>
        <v>-1346839.1855099602</v>
      </c>
      <c r="AZ17" s="51">
        <f t="shared" ca="1" si="3"/>
        <v>-1209319.7947711819</v>
      </c>
      <c r="BA17" s="51">
        <f t="shared" ca="1" si="3"/>
        <v>-1089274.1624015898</v>
      </c>
      <c r="BB17" s="51">
        <f t="shared" ca="1" si="3"/>
        <v>-988113.92484361259</v>
      </c>
      <c r="BC17" s="51">
        <f t="shared" ca="1" si="3"/>
        <v>-937444.45955153648</v>
      </c>
      <c r="BD17" s="51">
        <f t="shared" ca="1" si="3"/>
        <v>-910406.17220954341</v>
      </c>
      <c r="BE17" s="51">
        <f t="shared" ca="1" si="3"/>
        <v>-875551.78020418412</v>
      </c>
      <c r="BF17" s="51">
        <f t="shared" ca="1" si="3"/>
        <v>-856004.4101066991</v>
      </c>
      <c r="BG17" s="51">
        <f t="shared" ca="1" si="3"/>
        <v>-927074.33763561875</v>
      </c>
      <c r="BH17" s="51">
        <f t="shared" ca="1" si="3"/>
        <v>-632278.0195543064</v>
      </c>
      <c r="BI17" s="51">
        <f t="shared" ca="1" si="3"/>
        <v>-1904.021647990754</v>
      </c>
      <c r="BJ17" s="51">
        <f t="shared" ca="1" si="3"/>
        <v>0</v>
      </c>
      <c r="BK17" s="51">
        <f t="shared" ca="1" si="3"/>
        <v>0</v>
      </c>
      <c r="BL17" s="51">
        <f t="shared" ca="1" si="3"/>
        <v>0</v>
      </c>
      <c r="BM17" s="51">
        <f ca="1">IFERROR(BM18+BM20+BM22+BM24,0)</f>
        <v>0</v>
      </c>
      <c r="BN17" s="51">
        <f ca="1">IFERROR(BN18+BN20+BN22+BN24,0)</f>
        <v>0</v>
      </c>
      <c r="BO17" s="51">
        <f ca="1">IFERROR(BO18+BO20+BO22+BO24,0)</f>
        <v>0</v>
      </c>
      <c r="BP17" s="51">
        <f ca="1">IFERROR(BP18+BP20+BP22+BP24,0)</f>
        <v>0</v>
      </c>
      <c r="BQ17" s="51">
        <f ca="1">IFERROR(BQ18+BQ20+BQ22+BQ24,0)</f>
        <v>0</v>
      </c>
      <c r="BR17" s="51">
        <f t="shared" ref="BR17:BW17" ca="1" si="4">IFERROR(BR18+BR20+BR22+BR24,0)</f>
        <v>0</v>
      </c>
      <c r="BS17" s="51">
        <f t="shared" ca="1" si="4"/>
        <v>0</v>
      </c>
      <c r="BT17" s="51">
        <f t="shared" ca="1" si="4"/>
        <v>0</v>
      </c>
      <c r="BU17" s="51">
        <f t="shared" ca="1" si="4"/>
        <v>0</v>
      </c>
      <c r="BV17" s="51">
        <f t="shared" ca="1" si="4"/>
        <v>0</v>
      </c>
      <c r="BW17" s="51">
        <f t="shared" ca="1" si="4"/>
        <v>0</v>
      </c>
    </row>
    <row r="18" spans="1:75" x14ac:dyDescent="0.3">
      <c r="A18" s="42" t="s">
        <v>513</v>
      </c>
      <c r="B18" s="42"/>
      <c r="C18" s="53"/>
      <c r="D18" s="53"/>
      <c r="E18" s="53"/>
      <c r="F18" s="53"/>
      <c r="G18" s="53"/>
      <c r="H18" s="53"/>
      <c r="I18" s="53"/>
      <c r="J18" s="53"/>
      <c r="K18" s="53"/>
      <c r="L18" s="53"/>
      <c r="M18" s="53"/>
      <c r="N18" s="53"/>
      <c r="O18" s="53"/>
      <c r="P18" s="53"/>
      <c r="Q18" s="53"/>
      <c r="R18" s="51">
        <f t="shared" ref="R18:AA18" si="5">R17-R20-R22</f>
        <v>-101329</v>
      </c>
      <c r="S18" s="51">
        <f t="shared" si="5"/>
        <v>-175300</v>
      </c>
      <c r="T18" s="51">
        <f t="shared" si="5"/>
        <v>-195016</v>
      </c>
      <c r="U18" s="51">
        <f t="shared" si="5"/>
        <v>-320323</v>
      </c>
      <c r="V18" s="51">
        <f t="shared" si="5"/>
        <v>-791968</v>
      </c>
      <c r="W18" s="51">
        <f t="shared" si="5"/>
        <v>-180481</v>
      </c>
      <c r="X18" s="51">
        <f t="shared" si="5"/>
        <v>-312597</v>
      </c>
      <c r="Y18" s="51">
        <f t="shared" si="5"/>
        <v>-241887</v>
      </c>
      <c r="Z18" s="51">
        <f t="shared" si="5"/>
        <v>-131224</v>
      </c>
      <c r="AA18" s="51">
        <f t="shared" si="5"/>
        <v>-866189</v>
      </c>
      <c r="AB18" s="51">
        <f>AB17-AB20-AB22</f>
        <v>-462030</v>
      </c>
      <c r="AC18" s="51">
        <f>AC17-AC20-AC22</f>
        <v>-95798</v>
      </c>
      <c r="AD18" s="51">
        <f>AD17-AD20-AD22</f>
        <v>-478897</v>
      </c>
      <c r="AE18" s="51">
        <f>AE17-AE20-AE22</f>
        <v>-157403</v>
      </c>
      <c r="AF18" s="51">
        <f>AF17-AF20-AF22</f>
        <v>-1194128</v>
      </c>
      <c r="AG18" s="51">
        <f ca="1">AG19*AG9*AG11</f>
        <v>-1639250.7294616199</v>
      </c>
      <c r="AH18" s="51">
        <f t="shared" ref="AH18:BL18" ca="1" si="6">AH19*AH9*AH11</f>
        <v>-2229012.7022048691</v>
      </c>
      <c r="AI18" s="51">
        <f t="shared" ca="1" si="6"/>
        <v>-2463680.6696571549</v>
      </c>
      <c r="AJ18" s="51">
        <f t="shared" ca="1" si="6"/>
        <v>-2685432.0646592099</v>
      </c>
      <c r="AK18" s="51">
        <f t="shared" ca="1" si="6"/>
        <v>-2746196.1375402692</v>
      </c>
      <c r="AL18" s="51">
        <f t="shared" ca="1" si="6"/>
        <v>-2876515.2368307896</v>
      </c>
      <c r="AM18" s="51">
        <f t="shared" ca="1" si="6"/>
        <v>-2675722.8951819404</v>
      </c>
      <c r="AN18" s="51">
        <f t="shared" ca="1" si="6"/>
        <v>-2315981.6895671533</v>
      </c>
      <c r="AO18" s="51">
        <f t="shared" ca="1" si="6"/>
        <v>-2044186.2335222149</v>
      </c>
      <c r="AP18" s="51">
        <f t="shared" ca="1" si="6"/>
        <v>-1827675.3345078365</v>
      </c>
      <c r="AQ18" s="51">
        <f t="shared" ca="1" si="6"/>
        <v>-1649402.3899303121</v>
      </c>
      <c r="AR18" s="51">
        <f t="shared" ca="1" si="6"/>
        <v>-1469924.9314477507</v>
      </c>
      <c r="AS18" s="51">
        <f t="shared" ca="1" si="6"/>
        <v>-1290609.6017442627</v>
      </c>
      <c r="AT18" s="51">
        <f t="shared" ca="1" si="6"/>
        <v>-1138720.9558358085</v>
      </c>
      <c r="AU18" s="51">
        <f t="shared" ca="1" si="6"/>
        <v>-1030476.4842899599</v>
      </c>
      <c r="AV18" s="51">
        <f t="shared" ca="1" si="6"/>
        <v>-916255.84962619876</v>
      </c>
      <c r="AW18" s="51">
        <f t="shared" ca="1" si="6"/>
        <v>-741873.69076659041</v>
      </c>
      <c r="AX18" s="51">
        <f t="shared" ca="1" si="6"/>
        <v>-669480.30497487809</v>
      </c>
      <c r="AY18" s="51">
        <f t="shared" ca="1" si="6"/>
        <v>-605911.5560167873</v>
      </c>
      <c r="AZ18" s="51">
        <f t="shared" ca="1" si="6"/>
        <v>-545741.21660680708</v>
      </c>
      <c r="BA18" s="51">
        <f t="shared" ca="1" si="6"/>
        <v>-499205.4493279162</v>
      </c>
      <c r="BB18" s="51">
        <f t="shared" ca="1" si="6"/>
        <v>-446599.47670700558</v>
      </c>
      <c r="BC18" s="51">
        <f t="shared" ca="1" si="6"/>
        <v>-416868.21388404456</v>
      </c>
      <c r="BD18" s="51">
        <f t="shared" ca="1" si="6"/>
        <v>-393673.1469032215</v>
      </c>
      <c r="BE18" s="51">
        <f t="shared" ca="1" si="6"/>
        <v>-374192.75676684454</v>
      </c>
      <c r="BF18" s="51">
        <f t="shared" ca="1" si="6"/>
        <v>-337741.12909392541</v>
      </c>
      <c r="BG18" s="51">
        <f t="shared" ca="1" si="6"/>
        <v>-317019.49144287605</v>
      </c>
      <c r="BH18" s="51">
        <f t="shared" ca="1" si="6"/>
        <v>-303901.74988740153</v>
      </c>
      <c r="BI18" s="51">
        <f t="shared" ca="1" si="6"/>
        <v>-196225.85750326148</v>
      </c>
      <c r="BJ18" s="51">
        <f t="shared" ca="1" si="6"/>
        <v>0</v>
      </c>
      <c r="BK18" s="51">
        <f t="shared" ca="1" si="6"/>
        <v>0</v>
      </c>
      <c r="BL18" s="51">
        <f t="shared" ca="1" si="6"/>
        <v>0</v>
      </c>
      <c r="BM18" s="51">
        <f ca="1">BM19*BM9*BM11</f>
        <v>0</v>
      </c>
      <c r="BN18" s="51">
        <f ca="1">BN19*BN9*BN11</f>
        <v>0</v>
      </c>
      <c r="BO18" s="51">
        <f ca="1">BO19*BO9*BO11</f>
        <v>0</v>
      </c>
      <c r="BP18" s="51">
        <f ca="1">BP19*BP9*BP11</f>
        <v>0</v>
      </c>
      <c r="BQ18" s="51">
        <f ca="1">BQ19*BQ9*BQ11</f>
        <v>0</v>
      </c>
      <c r="BR18" s="51">
        <f t="shared" ref="BR18:BW18" ca="1" si="7">BR19*BR9*BR11</f>
        <v>0</v>
      </c>
      <c r="BS18" s="51">
        <f t="shared" ca="1" si="7"/>
        <v>0</v>
      </c>
      <c r="BT18" s="51">
        <f t="shared" ca="1" si="7"/>
        <v>0</v>
      </c>
      <c r="BU18" s="51">
        <f t="shared" ca="1" si="7"/>
        <v>0</v>
      </c>
      <c r="BV18" s="51">
        <f t="shared" ca="1" si="7"/>
        <v>0</v>
      </c>
      <c r="BW18" s="51">
        <f t="shared" ca="1" si="7"/>
        <v>0</v>
      </c>
    </row>
    <row r="19" spans="1:75" x14ac:dyDescent="0.3">
      <c r="A19" s="47" t="s">
        <v>537</v>
      </c>
      <c r="B19" s="47"/>
      <c r="C19" s="53"/>
      <c r="D19" s="53"/>
      <c r="E19" s="53"/>
      <c r="F19" s="53"/>
      <c r="G19" s="53"/>
      <c r="H19" s="53"/>
      <c r="I19" s="53"/>
      <c r="J19" s="53"/>
      <c r="K19" s="53"/>
      <c r="L19" s="53"/>
      <c r="M19" s="53"/>
      <c r="N19" s="53"/>
      <c r="O19" s="53"/>
      <c r="P19" s="53"/>
      <c r="Q19" s="53"/>
      <c r="R19" s="101">
        <f t="shared" ref="R19:AE19" si="8">R18/R9/R11</f>
        <v>-9.220444784159568</v>
      </c>
      <c r="S19" s="101">
        <f t="shared" si="8"/>
        <v>-12.358124779696864</v>
      </c>
      <c r="T19" s="101">
        <f t="shared" si="8"/>
        <v>-14.431775125509141</v>
      </c>
      <c r="U19" s="101">
        <f t="shared" si="8"/>
        <v>-15.000145167377987</v>
      </c>
      <c r="V19" s="101">
        <f t="shared" si="8"/>
        <v>-13.168152799309908</v>
      </c>
      <c r="W19" s="101">
        <f t="shared" si="8"/>
        <v>-13.608348941226856</v>
      </c>
      <c r="X19" s="101">
        <f t="shared" si="8"/>
        <v>-17.457229099011808</v>
      </c>
      <c r="Y19" s="101">
        <f t="shared" si="8"/>
        <v>-11.622326637123196</v>
      </c>
      <c r="Z19" s="101">
        <f t="shared" si="8"/>
        <v>-10.818163606340329</v>
      </c>
      <c r="AA19" s="101">
        <f t="shared" si="8"/>
        <v>-13.565724888476211</v>
      </c>
      <c r="AB19" s="101">
        <f t="shared" si="8"/>
        <v>-12.525415182420014</v>
      </c>
      <c r="AC19" s="101">
        <f t="shared" si="8"/>
        <v>-2.7947991145144711</v>
      </c>
      <c r="AD19" s="101">
        <f t="shared" si="8"/>
        <v>-9.7429544712893321</v>
      </c>
      <c r="AE19" s="101">
        <f t="shared" si="8"/>
        <v>-3.889994822500745</v>
      </c>
      <c r="AF19" s="101">
        <f>AF18/AF9/AF11</f>
        <v>-7.4350869815822174</v>
      </c>
      <c r="AG19" s="101">
        <f>AF19*(1+AG7)</f>
        <v>-7.6358343300849363</v>
      </c>
      <c r="AH19" s="101">
        <f t="shared" ref="AH19:BW19" si="9">AG19*(1+AH7)</f>
        <v>-7.7885510166866352</v>
      </c>
      <c r="AI19" s="101">
        <f t="shared" si="9"/>
        <v>-7.9443220370203678</v>
      </c>
      <c r="AJ19" s="101">
        <f t="shared" si="9"/>
        <v>-8.1032084777607754</v>
      </c>
      <c r="AK19" s="101">
        <f t="shared" si="9"/>
        <v>-8.2652726473159905</v>
      </c>
      <c r="AL19" s="101">
        <f t="shared" si="9"/>
        <v>-8.430578100262311</v>
      </c>
      <c r="AM19" s="101">
        <f t="shared" si="9"/>
        <v>-8.5991896622675572</v>
      </c>
      <c r="AN19" s="101">
        <f t="shared" si="9"/>
        <v>-8.7711734555129084</v>
      </c>
      <c r="AO19" s="101">
        <f t="shared" si="9"/>
        <v>-8.9465969246231669</v>
      </c>
      <c r="AP19" s="101">
        <f t="shared" si="9"/>
        <v>-9.1255288631156297</v>
      </c>
      <c r="AQ19" s="101">
        <f t="shared" si="9"/>
        <v>-9.308039440377943</v>
      </c>
      <c r="AR19" s="101">
        <f t="shared" si="9"/>
        <v>-9.4942002291855019</v>
      </c>
      <c r="AS19" s="101">
        <f t="shared" si="9"/>
        <v>-9.6840842337692123</v>
      </c>
      <c r="AT19" s="101">
        <f t="shared" si="9"/>
        <v>-9.8777659184445969</v>
      </c>
      <c r="AU19" s="101">
        <f t="shared" si="9"/>
        <v>-10.075321236813489</v>
      </c>
      <c r="AV19" s="101">
        <f t="shared" si="9"/>
        <v>-10.276827661549758</v>
      </c>
      <c r="AW19" s="101">
        <f t="shared" si="9"/>
        <v>-10.482364214780754</v>
      </c>
      <c r="AX19" s="101">
        <f t="shared" si="9"/>
        <v>-10.692011499076369</v>
      </c>
      <c r="AY19" s="101">
        <f t="shared" si="9"/>
        <v>-10.905851729057897</v>
      </c>
      <c r="AZ19" s="101">
        <f t="shared" si="9"/>
        <v>-11.123968763639056</v>
      </c>
      <c r="BA19" s="101">
        <f t="shared" si="9"/>
        <v>-11.346448138911837</v>
      </c>
      <c r="BB19" s="101">
        <f t="shared" si="9"/>
        <v>-11.573377101690074</v>
      </c>
      <c r="BC19" s="101">
        <f t="shared" si="9"/>
        <v>-11.804844643723875</v>
      </c>
      <c r="BD19" s="101">
        <f t="shared" si="9"/>
        <v>-12.040941536598353</v>
      </c>
      <c r="BE19" s="101">
        <f t="shared" si="9"/>
        <v>-12.281760367330321</v>
      </c>
      <c r="BF19" s="101">
        <f t="shared" si="9"/>
        <v>-12.527395574676929</v>
      </c>
      <c r="BG19" s="101">
        <f t="shared" si="9"/>
        <v>-12.777943486170468</v>
      </c>
      <c r="BH19" s="101">
        <f t="shared" si="9"/>
        <v>-13.033502355893878</v>
      </c>
      <c r="BI19" s="101">
        <f t="shared" si="9"/>
        <v>-13.294172403011757</v>
      </c>
      <c r="BJ19" s="101">
        <f t="shared" si="9"/>
        <v>-13.560055851071992</v>
      </c>
      <c r="BK19" s="101">
        <f t="shared" si="9"/>
        <v>-13.831256968093431</v>
      </c>
      <c r="BL19" s="101">
        <f t="shared" si="9"/>
        <v>-14.1078821074553</v>
      </c>
      <c r="BM19" s="101">
        <f t="shared" si="9"/>
        <v>-14.390039749604407</v>
      </c>
      <c r="BN19" s="101">
        <f t="shared" si="9"/>
        <v>-14.677840544596496</v>
      </c>
      <c r="BO19" s="101">
        <f t="shared" si="9"/>
        <v>-14.971397355488426</v>
      </c>
      <c r="BP19" s="101">
        <f t="shared" si="9"/>
        <v>-15.270825302598194</v>
      </c>
      <c r="BQ19" s="101">
        <f t="shared" si="9"/>
        <v>-15.576241808650158</v>
      </c>
      <c r="BR19" s="101">
        <f t="shared" si="9"/>
        <v>-15.887766644823161</v>
      </c>
      <c r="BS19" s="101">
        <f t="shared" si="9"/>
        <v>-16.205521977719624</v>
      </c>
      <c r="BT19" s="101">
        <f t="shared" si="9"/>
        <v>-16.529632417274016</v>
      </c>
      <c r="BU19" s="101">
        <f t="shared" si="9"/>
        <v>-16.860225065619495</v>
      </c>
      <c r="BV19" s="101">
        <f t="shared" si="9"/>
        <v>-17.197429566931884</v>
      </c>
      <c r="BW19" s="101">
        <f t="shared" si="9"/>
        <v>-17.541378158270522</v>
      </c>
    </row>
    <row r="20" spans="1:75" x14ac:dyDescent="0.3">
      <c r="A20" s="42" t="s">
        <v>290</v>
      </c>
      <c r="B20" s="42"/>
      <c r="C20" s="51">
        <f>-'Fluxo de Caixa Planilhado'!C7-C37</f>
        <v>-26164</v>
      </c>
      <c r="D20" s="51">
        <f>-('Fluxo de Caixa Planilhado'!D7-'Fluxo de Caixa Planilhado'!C7)-D37</f>
        <v>-45001</v>
      </c>
      <c r="E20" s="51">
        <f>-('Fluxo de Caixa Planilhado'!E7-'Fluxo de Caixa Planilhado'!D7)-E37</f>
        <v>5971</v>
      </c>
      <c r="F20" s="51">
        <f>-('Fluxo de Caixa Planilhado'!F7-'Fluxo de Caixa Planilhado'!E7)-F37</f>
        <v>-4938</v>
      </c>
      <c r="G20" s="51">
        <f>SUM(C20:F20)</f>
        <v>-70132</v>
      </c>
      <c r="H20" s="51">
        <f>-'Fluxo de Caixa Planilhado'!H7-H37</f>
        <v>-31240</v>
      </c>
      <c r="I20" s="51">
        <f>-('Fluxo de Caixa Planilhado'!I7-'Fluxo de Caixa Planilhado'!H7)-I37</f>
        <v>-88477</v>
      </c>
      <c r="J20" s="51">
        <f>-('Fluxo de Caixa Planilhado'!J7-'Fluxo de Caixa Planilhado'!I7)-J37</f>
        <v>-117076</v>
      </c>
      <c r="K20" s="51">
        <f>-('Fluxo de Caixa Planilhado'!K7-'Fluxo de Caixa Planilhado'!J7)-K37</f>
        <v>-146085</v>
      </c>
      <c r="L20" s="51">
        <f>SUM(H20:K20)</f>
        <v>-382878</v>
      </c>
      <c r="M20" s="51">
        <f>-'Fluxo de Caixa Planilhado'!M7-M37</f>
        <v>-90084</v>
      </c>
      <c r="N20" s="51">
        <f>-('Fluxo de Caixa Planilhado'!N7-'Fluxo de Caixa Planilhado'!M7)-N37</f>
        <v>-172968</v>
      </c>
      <c r="O20" s="51">
        <f>-('Fluxo de Caixa Planilhado'!O7-'Fluxo de Caixa Planilhado'!N7)-O37</f>
        <v>-149689</v>
      </c>
      <c r="P20" s="51">
        <f>-('Fluxo de Caixa Planilhado'!P7-'Fluxo de Caixa Planilhado'!O7)-P37</f>
        <v>-237543</v>
      </c>
      <c r="Q20" s="51">
        <f>SUM(M20:P20)</f>
        <v>-650284</v>
      </c>
      <c r="R20" s="51">
        <f>-'Fluxo de Caixa Planilhado'!R7-R37</f>
        <v>-101958</v>
      </c>
      <c r="S20" s="51">
        <f>-('Fluxo de Caixa Planilhado'!S7-'Fluxo de Caixa Planilhado'!R7)-S37</f>
        <v>-211062</v>
      </c>
      <c r="T20" s="51">
        <f>-('Fluxo de Caixa Planilhado'!T7-'Fluxo de Caixa Planilhado'!S7)-T37</f>
        <v>-179665</v>
      </c>
      <c r="U20" s="51">
        <f>-('Fluxo de Caixa Planilhado'!U7-'Fluxo de Caixa Planilhado'!T7)-U37</f>
        <v>-277613</v>
      </c>
      <c r="V20" s="51">
        <f>SUM(R20:U20)</f>
        <v>-770298</v>
      </c>
      <c r="W20" s="51">
        <f>-'Fluxo de Caixa Planilhado'!W7-W37</f>
        <v>-161605</v>
      </c>
      <c r="X20" s="51">
        <f>-('Fluxo de Caixa Planilhado'!X7-'Fluxo de Caixa Planilhado'!W7)-X37</f>
        <v>-187321</v>
      </c>
      <c r="Y20" s="51">
        <f>-('Fluxo de Caixa Planilhado'!Y7-'Fluxo de Caixa Planilhado'!X7)-Y37</f>
        <v>-225964</v>
      </c>
      <c r="Z20" s="51">
        <f>-('Fluxo de Caixa Planilhado'!Z7-'Fluxo de Caixa Planilhado'!Y7)-Z37</f>
        <v>-166839</v>
      </c>
      <c r="AA20" s="51">
        <f>SUM(W20:Z20)</f>
        <v>-741729</v>
      </c>
      <c r="AB20" s="51">
        <f>-'Fluxo de Caixa Planilhado'!AB7-AB37</f>
        <v>-281605</v>
      </c>
      <c r="AC20" s="51">
        <f>-('Fluxo de Caixa Planilhado'!AC7-'Fluxo de Caixa Planilhado'!AB7)-AC37</f>
        <v>-521715</v>
      </c>
      <c r="AD20" s="51">
        <f>-('Fluxo de Caixa Planilhado'!AD7-'Fluxo de Caixa Planilhado'!AC7)-AD37</f>
        <v>-830135</v>
      </c>
      <c r="AE20" s="51">
        <f>-('Fluxo de Caixa Planilhado'!AE7-'Fluxo de Caixa Planilhado'!AD7)-AE37</f>
        <v>-283940</v>
      </c>
      <c r="AF20" s="51">
        <f>SUM(AB20:AE20)</f>
        <v>-1917395</v>
      </c>
      <c r="AG20" s="48">
        <f ca="1">IF(AG16=0,0,-('CAPEX, D&amp;A, Imob&amp;Intang'!AG23+'CAPEX, D&amp;A, Imob&amp;Intang'!AG62)-AG37)</f>
        <v>-1454439.4027400007</v>
      </c>
      <c r="AH20" s="48">
        <f ca="1">IF(AH16=0,0,-('CAPEX, D&amp;A, Imob&amp;Intang'!AH23+'CAPEX, D&amp;A, Imob&amp;Intang'!AH62)-AH37)</f>
        <v>-1743480.2561892441</v>
      </c>
      <c r="AI20" s="48">
        <f ca="1">IF(AI16=0,0,-('CAPEX, D&amp;A, Imob&amp;Intang'!AI23+'CAPEX, D&amp;A, Imob&amp;Intang'!AI62)-AI37)</f>
        <v>-2066515.6847769273</v>
      </c>
      <c r="AJ20" s="48">
        <f ca="1">IF(AJ16=0,0,-('CAPEX, D&amp;A, Imob&amp;Intang'!AJ23+'CAPEX, D&amp;A, Imob&amp;Intang'!AJ62)-AJ37)</f>
        <v>-2234034.6313717444</v>
      </c>
      <c r="AK20" s="48">
        <f ca="1">IF(AK16=0,0,-('CAPEX, D&amp;A, Imob&amp;Intang'!AK23+'CAPEX, D&amp;A, Imob&amp;Intang'!AK62)-AK37)</f>
        <v>-2491917.5691743037</v>
      </c>
      <c r="AL20" s="48">
        <f ca="1">IF(AL16=0,0,-('CAPEX, D&amp;A, Imob&amp;Intang'!AL23+'CAPEX, D&amp;A, Imob&amp;Intang'!AL62)-AL37)</f>
        <v>-2419361.8273944547</v>
      </c>
      <c r="AM20" s="48">
        <f ca="1">IF(AM16=0,0,-('CAPEX, D&amp;A, Imob&amp;Intang'!AM23+'CAPEX, D&amp;A, Imob&amp;Intang'!AM62)-AM37)</f>
        <v>-2195626.1731732967</v>
      </c>
      <c r="AN20" s="48">
        <f ca="1">IF(AN16=0,0,-('CAPEX, D&amp;A, Imob&amp;Intang'!AN23+'CAPEX, D&amp;A, Imob&amp;Intang'!AN62)-AN37)</f>
        <v>-1886138.8001813064</v>
      </c>
      <c r="AO20" s="48">
        <f ca="1">IF(AO16=0,0,-('CAPEX, D&amp;A, Imob&amp;Intang'!AO23+'CAPEX, D&amp;A, Imob&amp;Intang'!AO62)-AO37)</f>
        <v>-1644191.7390444754</v>
      </c>
      <c r="AP20" s="48">
        <f ca="1">IF(AP16=0,0,-('CAPEX, D&amp;A, Imob&amp;Intang'!AP23+'CAPEX, D&amp;A, Imob&amp;Intang'!AP62)-AP37)</f>
        <v>-1449891.0492000368</v>
      </c>
      <c r="AQ20" s="48">
        <f ca="1">IF(AQ16=0,0,-('CAPEX, D&amp;A, Imob&amp;Intang'!AQ23+'CAPEX, D&amp;A, Imob&amp;Intang'!AQ62)-AQ37)</f>
        <v>-1262536.6754010778</v>
      </c>
      <c r="AR20" s="48">
        <f ca="1">IF(AR16=0,0,-('CAPEX, D&amp;A, Imob&amp;Intang'!AR23+'CAPEX, D&amp;A, Imob&amp;Intang'!AR62)-AR37)</f>
        <v>-1082117.6108461583</v>
      </c>
      <c r="AS20" s="48">
        <f ca="1">IF(AS16=0,0,-('CAPEX, D&amp;A, Imob&amp;Intang'!AS23+'CAPEX, D&amp;A, Imob&amp;Intang'!AS62)-AS37)</f>
        <v>-933963.90200599318</v>
      </c>
      <c r="AT20" s="48">
        <f ca="1">IF(AT16=0,0,-('CAPEX, D&amp;A, Imob&amp;Intang'!AT23+'CAPEX, D&amp;A, Imob&amp;Intang'!AT62)-AT37)</f>
        <v>-833375.9273023454</v>
      </c>
      <c r="AU20" s="48">
        <f ca="1">IF(AU16=0,0,-('CAPEX, D&amp;A, Imob&amp;Intang'!AU23+'CAPEX, D&amp;A, Imob&amp;Intang'!AU62)-AU37)</f>
        <v>-712948.70966544072</v>
      </c>
      <c r="AV20" s="48">
        <f ca="1">IF(AV16=0,0,-('CAPEX, D&amp;A, Imob&amp;Intang'!AV23+'CAPEX, D&amp;A, Imob&amp;Intang'!AV62)-AV37)</f>
        <v>-535574.4037603552</v>
      </c>
      <c r="AW20" s="48">
        <f ca="1">IF(AW16=0,0,-('CAPEX, D&amp;A, Imob&amp;Intang'!AW23+'CAPEX, D&amp;A, Imob&amp;Intang'!AW62)-AW37)</f>
        <v>-463680.5043247802</v>
      </c>
      <c r="AX20" s="48">
        <f ca="1">IF(AX16=0,0,-('CAPEX, D&amp;A, Imob&amp;Intang'!AX23+'CAPEX, D&amp;A, Imob&amp;Intang'!AX62)-AX37)</f>
        <v>-403175.04396039527</v>
      </c>
      <c r="AY20" s="48">
        <f ca="1">IF(AY16=0,0,-('CAPEX, D&amp;A, Imob&amp;Intang'!AY23+'CAPEX, D&amp;A, Imob&amp;Intang'!AY62)-AY37)</f>
        <v>-348188.74292523344</v>
      </c>
      <c r="AZ20" s="48">
        <f ca="1">IF(AZ16=0,0,-('CAPEX, D&amp;A, Imob&amp;Intang'!AZ23+'CAPEX, D&amp;A, Imob&amp;Intang'!AZ62)-AZ37)</f>
        <v>-309730.97968221072</v>
      </c>
      <c r="BA20" s="48">
        <f ca="1">IF(BA16=0,0,-('CAPEX, D&amp;A, Imob&amp;Intang'!BA23+'CAPEX, D&amp;A, Imob&amp;Intang'!BA62)-BA37)</f>
        <v>-266282.33124903979</v>
      </c>
      <c r="BB20" s="48">
        <f ca="1">IF(BB16=0,0,-('CAPEX, D&amp;A, Imob&amp;Intang'!BB23+'CAPEX, D&amp;A, Imob&amp;Intang'!BB62)-BB37)</f>
        <v>-251708.56168565975</v>
      </c>
      <c r="BC20" s="48">
        <f ca="1">IF(BC16=0,0,-('CAPEX, D&amp;A, Imob&amp;Intang'!BC23+'CAPEX, D&amp;A, Imob&amp;Intang'!BC62)-BC37)</f>
        <v>-250037.89364891819</v>
      </c>
      <c r="BD20" s="48">
        <f ca="1">IF(BD16=0,0,-('CAPEX, D&amp;A, Imob&amp;Intang'!BD23+'CAPEX, D&amp;A, Imob&amp;Intang'!BD62)-BD37)</f>
        <v>-261253.44407740462</v>
      </c>
      <c r="BE20" s="48">
        <f ca="1">IF(BE16=0,0,-('CAPEX, D&amp;A, Imob&amp;Intang'!BE23+'CAPEX, D&amp;A, Imob&amp;Intang'!BE62)-BE37)</f>
        <v>-258520.67609918467</v>
      </c>
      <c r="BF20" s="48">
        <f ca="1">IF(BF16=0,0,-('CAPEX, D&amp;A, Imob&amp;Intang'!BF23+'CAPEX, D&amp;A, Imob&amp;Intang'!BF62)-BF37)</f>
        <v>-299047.72589824902</v>
      </c>
      <c r="BG20" s="48">
        <f ca="1">IF(BG16=0,0,-('CAPEX, D&amp;A, Imob&amp;Intang'!BG23+'CAPEX, D&amp;A, Imob&amp;Intang'!BG62)-BG37)</f>
        <v>-404168.45100755652</v>
      </c>
      <c r="BH20" s="48">
        <f ca="1">IF(BH16=0,0,-('CAPEX, D&amp;A, Imob&amp;Intang'!BH23+'CAPEX, D&amp;A, Imob&amp;Intang'!BH62)-BH37)</f>
        <v>-130923.22992416791</v>
      </c>
      <c r="BI20" s="48">
        <f ca="1">IF(BI16=0,0,-('CAPEX, D&amp;A, Imob&amp;Intang'!BI23+'CAPEX, D&amp;A, Imob&amp;Intang'!BI62)-BI37)</f>
        <v>322053.18937284406</v>
      </c>
      <c r="BJ20" s="48">
        <f ca="1">IF(BJ16=0,0,-('CAPEX, D&amp;A, Imob&amp;Intang'!BJ23+'CAPEX, D&amp;A, Imob&amp;Intang'!BJ62)-BJ37)</f>
        <v>0</v>
      </c>
      <c r="BK20" s="48">
        <f ca="1">IF(BK16=0,0,-('CAPEX, D&amp;A, Imob&amp;Intang'!BK23+'CAPEX, D&amp;A, Imob&amp;Intang'!BK62)-BK37)</f>
        <v>0</v>
      </c>
      <c r="BL20" s="48">
        <f ca="1">IF(BL16=0,0,-('CAPEX, D&amp;A, Imob&amp;Intang'!BL23+'CAPEX, D&amp;A, Imob&amp;Intang'!BL62)-BL37)</f>
        <v>0</v>
      </c>
      <c r="BM20" s="48">
        <f ca="1">IF(BM16=0,0,-('CAPEX, D&amp;A, Imob&amp;Intang'!BM23+'CAPEX, D&amp;A, Imob&amp;Intang'!BM62)-BM37)</f>
        <v>0</v>
      </c>
      <c r="BN20" s="48">
        <f ca="1">IF(BN16=0,0,-('CAPEX, D&amp;A, Imob&amp;Intang'!BN23+'CAPEX, D&amp;A, Imob&amp;Intang'!BN62)-BN37)</f>
        <v>0</v>
      </c>
      <c r="BO20" s="48">
        <f ca="1">IF(BO16=0,0,-('CAPEX, D&amp;A, Imob&amp;Intang'!BO23+'CAPEX, D&amp;A, Imob&amp;Intang'!BO62)-BO37)</f>
        <v>0</v>
      </c>
      <c r="BP20" s="48">
        <f ca="1">IF(BP16=0,0,-('CAPEX, D&amp;A, Imob&amp;Intang'!BP23+'CAPEX, D&amp;A, Imob&amp;Intang'!BP62)-BP37)</f>
        <v>0</v>
      </c>
      <c r="BQ20" s="48">
        <f ca="1">IF(BQ16=0,0,-('CAPEX, D&amp;A, Imob&amp;Intang'!BQ23+'CAPEX, D&amp;A, Imob&amp;Intang'!BQ62)-BQ37)</f>
        <v>0</v>
      </c>
      <c r="BR20" s="48">
        <f ca="1">IF(BR16=0,0,-('CAPEX, D&amp;A, Imob&amp;Intang'!BR23+'CAPEX, D&amp;A, Imob&amp;Intang'!BR62)-BR37)</f>
        <v>0</v>
      </c>
      <c r="BS20" s="48">
        <f ca="1">IF(BS16=0,0,-('CAPEX, D&amp;A, Imob&amp;Intang'!BS23+'CAPEX, D&amp;A, Imob&amp;Intang'!BS62)-BS37)</f>
        <v>0</v>
      </c>
      <c r="BT20" s="48">
        <f ca="1">IF(BT16=0,0,-('CAPEX, D&amp;A, Imob&amp;Intang'!BT23+'CAPEX, D&amp;A, Imob&amp;Intang'!BT62)-BT37)</f>
        <v>0</v>
      </c>
      <c r="BU20" s="48">
        <f ca="1">IF(BU16=0,0,-('CAPEX, D&amp;A, Imob&amp;Intang'!BU23+'CAPEX, D&amp;A, Imob&amp;Intang'!BU62)-BU37)</f>
        <v>0</v>
      </c>
      <c r="BV20" s="48">
        <f ca="1">IF(BV16=0,0,-('CAPEX, D&amp;A, Imob&amp;Intang'!BV23+'CAPEX, D&amp;A, Imob&amp;Intang'!BV62)-BV37)</f>
        <v>0</v>
      </c>
      <c r="BW20" s="48">
        <f ca="1">IF(BW16=0,0,-('CAPEX, D&amp;A, Imob&amp;Intang'!BW23+'CAPEX, D&amp;A, Imob&amp;Intang'!BW62)-BW37)</f>
        <v>0</v>
      </c>
    </row>
    <row r="21" spans="1:75" x14ac:dyDescent="0.3">
      <c r="A21" s="47" t="s">
        <v>378</v>
      </c>
      <c r="B21" s="47"/>
      <c r="C21" s="74">
        <f>C20/'Balanço Planilhado'!C31</f>
        <v>-0.45026502374888139</v>
      </c>
      <c r="D21" s="74">
        <f>D20/'Balanço Planilhado'!D31</f>
        <v>-0.74031849439015562</v>
      </c>
      <c r="E21" s="74">
        <f>E20/'Balanço Planilhado'!E31</f>
        <v>9.8959196526235541E-2</v>
      </c>
      <c r="F21" s="74">
        <f>F20/'Balanço Planilhado'!F31</f>
        <v>-1.8265414448837974E-2</v>
      </c>
      <c r="G21" s="74">
        <f>G20/'Balanço Planilhado'!G31</f>
        <v>-0.2594147521518641</v>
      </c>
      <c r="H21" s="74">
        <f>H20/'Balanço Planilhado'!H31</f>
        <v>-1.2099415052927194E-2</v>
      </c>
      <c r="I21" s="74">
        <f>I20/'Balanço Planilhado'!I31</f>
        <v>-3.508193861245594E-2</v>
      </c>
      <c r="J21" s="74">
        <f>J20/'Balanço Planilhado'!J31</f>
        <v>-4.2186022646034639E-2</v>
      </c>
      <c r="K21" s="74">
        <f>K20/'Balanço Planilhado'!K31</f>
        <v>-4.7824748984315407E-2</v>
      </c>
      <c r="L21" s="74">
        <f>L20/'Balanço Planilhado'!L31</f>
        <v>-0.12534513633580938</v>
      </c>
      <c r="M21" s="74">
        <f>M20/'Balanço Planilhado'!M31</f>
        <v>-2.1419614150203607E-2</v>
      </c>
      <c r="N21" s="74">
        <f>N20/'Balanço Planilhado'!N31</f>
        <v>-4.1330535080942789E-2</v>
      </c>
      <c r="O21" s="74">
        <f>O20/'Balanço Planilhado'!O31</f>
        <v>-3.665472749725314E-2</v>
      </c>
      <c r="P21" s="74">
        <f>P20/'Balanço Planilhado'!P31</f>
        <v>-6.3704108157772013E-2</v>
      </c>
      <c r="Q21" s="74">
        <f>Q20/'Balanço Planilhado'!Q31</f>
        <v>-0.17439268793131607</v>
      </c>
      <c r="R21" s="74">
        <f>R20/'Balanço Planilhado'!R31</f>
        <v>-2.6846616604310342E-2</v>
      </c>
      <c r="S21" s="74">
        <f>S20/'Balanço Planilhado'!S31</f>
        <v>-5.6198108570543054E-2</v>
      </c>
      <c r="T21" s="74">
        <f>T20/'Balanço Planilhado'!T31</f>
        <v>-4.5434533077447714E-2</v>
      </c>
      <c r="U21" s="74">
        <f>U20/'Balanço Planilhado'!U31</f>
        <v>-7.8221887859973596E-2</v>
      </c>
      <c r="V21" s="74">
        <f>V20/'Balanço Planilhado'!V31</f>
        <v>-0.21704373993567283</v>
      </c>
      <c r="W21" s="74">
        <f>W20/'Balanço Planilhado'!W31</f>
        <v>-4.6552284865819207E-2</v>
      </c>
      <c r="X21" s="74">
        <f>X20/'Balanço Planilhado'!X31</f>
        <v>-5.2395782402584981E-2</v>
      </c>
      <c r="Y21" s="74">
        <f>Y20/'Balanço Planilhado'!Y31</f>
        <v>-5.5604141741297179E-2</v>
      </c>
      <c r="Z21" s="74">
        <f>Z20/'Balanço Planilhado'!Z31</f>
        <v>-3.5762407919393058E-2</v>
      </c>
      <c r="AA21" s="74">
        <f>AA20/'Balanço Planilhado'!AA31</f>
        <v>-0.15899169297132859</v>
      </c>
      <c r="AB21" s="74">
        <f>AB20/'Balanço Planilhado'!AB31</f>
        <v>-3.9723161563332561E-2</v>
      </c>
      <c r="AC21" s="74">
        <f>AC20/'Balanço Planilhado'!AC31</f>
        <v>-6.8342559160724584E-2</v>
      </c>
      <c r="AD21" s="74">
        <f>AD20/'Balanço Planilhado'!AD31</f>
        <v>-9.6082752918125805E-2</v>
      </c>
      <c r="AE21" s="74">
        <f>AE20/'Balanço Planilhado'!AE31</f>
        <v>-3.012588277409365E-2</v>
      </c>
      <c r="AF21" s="74">
        <f>AF20/'Balanço Planilhado'!AF31</f>
        <v>-0.20343458829905367</v>
      </c>
      <c r="AG21" s="74">
        <f ca="1">AG20/'Balanço Planilhado'!AG31</f>
        <v>-0.13577191440696618</v>
      </c>
      <c r="AH21" s="74">
        <f ca="1">AH20/'Balanço Planilhado'!AH31</f>
        <v>-0.14826195193659281</v>
      </c>
      <c r="AI21" s="74">
        <f ca="1">AI20/'Balanço Planilhado'!AI31</f>
        <v>-0.17005323715952761</v>
      </c>
      <c r="AJ21" s="74">
        <f ca="1">AJ20/'Balanço Planilhado'!AJ31</f>
        <v>-0.18074964882138461</v>
      </c>
      <c r="AK21" s="74">
        <f ca="1">AK20/'Balanço Planilhado'!AK31</f>
        <v>-0.20745901325009422</v>
      </c>
      <c r="AL21" s="74">
        <f ca="1">AL20/'Balanço Planilhado'!AL31</f>
        <v>-0.20697500338610803</v>
      </c>
      <c r="AM21" s="74">
        <f ca="1">AM20/'Balanço Planilhado'!AM31</f>
        <v>-0.21287415802913098</v>
      </c>
      <c r="AN21" s="74">
        <f ca="1">AN20/'Balanço Planilhado'!AN31</f>
        <v>-0.2062834908180376</v>
      </c>
      <c r="AO21" s="74">
        <f ca="1">AO20/'Balanço Planilhado'!AO31</f>
        <v>-0.20219213015240445</v>
      </c>
      <c r="AP21" s="74">
        <f ca="1">AP20/'Balanço Planilhado'!AP31</f>
        <v>-0.20005416407746798</v>
      </c>
      <c r="AQ21" s="74">
        <f ca="1">AQ20/'Balanço Planilhado'!AQ31</f>
        <v>-0.19463327054393736</v>
      </c>
      <c r="AR21" s="74">
        <f ca="1">AR20/'Balanço Planilhado'!AR31</f>
        <v>-0.1850987039071931</v>
      </c>
      <c r="AS21" s="74">
        <f ca="1">AS20/'Balanço Planilhado'!AS31</f>
        <v>-0.17607810919051672</v>
      </c>
      <c r="AT21" s="74">
        <f ca="1">AT20/'Balanço Planilhado'!AT31</f>
        <v>-0.17671075295123881</v>
      </c>
      <c r="AU21" s="74">
        <f ca="1">AU20/'Balanço Planilhado'!AU31</f>
        <v>-0.16934066841947557</v>
      </c>
      <c r="AV21" s="74">
        <f ca="1">AV20/'Balanço Planilhado'!AV31</f>
        <v>-0.13981996747312864</v>
      </c>
      <c r="AW21" s="74">
        <f ca="1">AW20/'Balanço Planilhado'!AW31</f>
        <v>-0.1325276379231958</v>
      </c>
      <c r="AX21" s="74">
        <f ca="1">AX20/'Balanço Planilhado'!AX31</f>
        <v>-0.1257248565444089</v>
      </c>
      <c r="AY21" s="74">
        <f ca="1">AY20/'Balanço Planilhado'!AY31</f>
        <v>-0.11799534834311054</v>
      </c>
      <c r="AZ21" s="74">
        <f ca="1">AZ20/'Balanço Planilhado'!AZ31</f>
        <v>-0.11394399638434362</v>
      </c>
      <c r="BA21" s="74">
        <f ca="1">BA20/'Balanço Planilhado'!BA31</f>
        <v>-0.10594526130506318</v>
      </c>
      <c r="BB21" s="74">
        <f ca="1">BB20/'Balanço Planilhado'!BB31</f>
        <v>-0.10883285173041174</v>
      </c>
      <c r="BC21" s="74">
        <f ca="1">BC20/'Balanço Planilhado'!BC31</f>
        <v>-0.11876482782206368</v>
      </c>
      <c r="BD21" s="74">
        <f ca="1">BD20/'Balanço Planilhado'!BD31</f>
        <v>-0.1390325047811104</v>
      </c>
      <c r="BE21" s="74">
        <f ca="1">BE20/'Balanço Planilhado'!BE31</f>
        <v>-0.15714807073465786</v>
      </c>
      <c r="BF21" s="74">
        <f ca="1">BF20/'Balanço Planilhado'!BF31</f>
        <v>-0.2193479110342679</v>
      </c>
      <c r="BG21" s="74">
        <f ca="1">BG20/'Balanço Planilhado'!BG31</f>
        <v>-0.56875222702853323</v>
      </c>
      <c r="BH21" s="74">
        <f ca="1">BH20/'Balanço Planilhado'!BH31</f>
        <v>-0.43432456077364362</v>
      </c>
      <c r="BI21" s="74">
        <f ca="1">BI20/'Balanço Planilhado'!BI31</f>
        <v>1.0683788514928096</v>
      </c>
      <c r="BJ21" s="74">
        <f ca="1">BJ20/'Balanço Planilhado'!BJ31</f>
        <v>0</v>
      </c>
      <c r="BK21" s="74">
        <f ca="1">BK20/'Balanço Planilhado'!BK31</f>
        <v>0</v>
      </c>
      <c r="BL21" s="74">
        <f ca="1">IFERROR(BL20/'Balanço Planilhado'!BL31,0)</f>
        <v>0</v>
      </c>
      <c r="BM21" s="74">
        <f ca="1">IFERROR(BM20/'Balanço Planilhado'!BM31,0)</f>
        <v>0</v>
      </c>
      <c r="BN21" s="74">
        <f ca="1">IFERROR(BN20/'Balanço Planilhado'!BN31,0)</f>
        <v>0</v>
      </c>
      <c r="BO21" s="74">
        <f ca="1">IFERROR(BO20/'Balanço Planilhado'!BO31,0)</f>
        <v>0</v>
      </c>
      <c r="BP21" s="74">
        <f ca="1">IFERROR(BP20/'Balanço Planilhado'!BP31,0)</f>
        <v>0</v>
      </c>
      <c r="BQ21" s="74">
        <f ca="1">IFERROR(BQ20/'Balanço Planilhado'!BQ31,0)</f>
        <v>0</v>
      </c>
      <c r="BR21" s="74">
        <f ca="1">IFERROR(BR20/'Balanço Planilhado'!BR31,0)</f>
        <v>0</v>
      </c>
      <c r="BS21" s="74">
        <f ca="1">IFERROR(BS20/'Balanço Planilhado'!BS31,0)</f>
        <v>0</v>
      </c>
      <c r="BT21" s="74">
        <f ca="1">IFERROR(BT20/'Balanço Planilhado'!BT31,0)</f>
        <v>0</v>
      </c>
      <c r="BU21" s="74">
        <f ca="1">IFERROR(BU20/'Balanço Planilhado'!BU31,0)</f>
        <v>0</v>
      </c>
      <c r="BV21" s="74">
        <f ca="1">IFERROR(BV20/'Balanço Planilhado'!BV31,0)</f>
        <v>0</v>
      </c>
      <c r="BW21" s="74">
        <f ca="1">IFERROR(BW20/'Balanço Planilhado'!BW31,0)</f>
        <v>0</v>
      </c>
    </row>
    <row r="22" spans="1:75" ht="13.8" customHeight="1" x14ac:dyDescent="0.3">
      <c r="A22" s="42" t="s">
        <v>379</v>
      </c>
      <c r="B22" s="42"/>
      <c r="C22" s="53"/>
      <c r="D22" s="53"/>
      <c r="E22" s="53"/>
      <c r="F22" s="53"/>
      <c r="G22" s="53"/>
      <c r="H22" s="53"/>
      <c r="I22" s="53"/>
      <c r="J22" s="53"/>
      <c r="K22" s="53"/>
      <c r="L22" s="53"/>
      <c r="M22" s="53"/>
      <c r="N22" s="53"/>
      <c r="O22" s="53"/>
      <c r="P22" s="53"/>
      <c r="Q22" s="53"/>
      <c r="R22" s="50">
        <v>-33244</v>
      </c>
      <c r="S22" s="50">
        <v>-82201</v>
      </c>
      <c r="T22" s="50">
        <v>-78575</v>
      </c>
      <c r="U22" s="50">
        <f>-321092-T22-S22-R22</f>
        <v>-127072</v>
      </c>
      <c r="V22" s="51">
        <f>SUM(R22:U22)</f>
        <v>-321092</v>
      </c>
      <c r="W22" s="50">
        <v>-120009</v>
      </c>
      <c r="X22" s="50">
        <v>-157418</v>
      </c>
      <c r="Y22" s="50">
        <v>-144460</v>
      </c>
      <c r="Z22" s="50">
        <f>-498385-Y22-X22-W22</f>
        <v>-76498</v>
      </c>
      <c r="AA22" s="51">
        <f>SUM(W22:Z22)</f>
        <v>-498385</v>
      </c>
      <c r="AB22" s="50">
        <v>-238251</v>
      </c>
      <c r="AC22" s="50">
        <v>-225559</v>
      </c>
      <c r="AD22" s="50">
        <v>-318566</v>
      </c>
      <c r="AE22" s="50">
        <v>-352238</v>
      </c>
      <c r="AF22" s="51">
        <f>SUM(AB22:AE22)</f>
        <v>-1134614</v>
      </c>
      <c r="AG22" s="51">
        <f t="shared" ref="AG22:BL22" ca="1" si="10">AG23*AG16</f>
        <v>-1718458.5343124596</v>
      </c>
      <c r="AH22" s="51">
        <f t="shared" ca="1" si="10"/>
        <v>-1957131.7119903355</v>
      </c>
      <c r="AI22" s="51">
        <f t="shared" ca="1" si="10"/>
        <v>-2083761.0287662295</v>
      </c>
      <c r="AJ22" s="51">
        <f t="shared" ca="1" si="10"/>
        <v>-2313045.5803894126</v>
      </c>
      <c r="AK22" s="51">
        <f t="shared" ca="1" si="10"/>
        <v>-2287575.238296486</v>
      </c>
      <c r="AL22" s="51">
        <f t="shared" ca="1" si="10"/>
        <v>-2419615.374726675</v>
      </c>
      <c r="AM22" s="51">
        <f t="shared" ca="1" si="10"/>
        <v>-2105769.3922011373</v>
      </c>
      <c r="AN22" s="51">
        <f t="shared" ca="1" si="10"/>
        <v>-1601229.7877366652</v>
      </c>
      <c r="AO22" s="51">
        <f t="shared" ca="1" si="10"/>
        <v>-1326705.2763365104</v>
      </c>
      <c r="AP22" s="51">
        <f t="shared" ca="1" si="10"/>
        <v>-1328528.0139624595</v>
      </c>
      <c r="AQ22" s="51">
        <f t="shared" ca="1" si="10"/>
        <v>-1150648.1003857467</v>
      </c>
      <c r="AR22" s="51">
        <f t="shared" ca="1" si="10"/>
        <v>-1008917.5571220231</v>
      </c>
      <c r="AS22" s="51">
        <f t="shared" ca="1" si="10"/>
        <v>-859077.95404918201</v>
      </c>
      <c r="AT22" s="51">
        <f t="shared" ca="1" si="10"/>
        <v>-730321.45967157523</v>
      </c>
      <c r="AU22" s="51">
        <f t="shared" ca="1" si="10"/>
        <v>-643649.10007206653</v>
      </c>
      <c r="AV22" s="51">
        <f t="shared" ca="1" si="10"/>
        <v>-590875.53415728011</v>
      </c>
      <c r="AW22" s="51">
        <f t="shared" ca="1" si="10"/>
        <v>-480736.82631208375</v>
      </c>
      <c r="AX22" s="51">
        <f t="shared" ca="1" si="10"/>
        <v>-433840.79743399646</v>
      </c>
      <c r="AY22" s="51">
        <f t="shared" ca="1" si="10"/>
        <v>-392738.88656793954</v>
      </c>
      <c r="AZ22" s="51">
        <f t="shared" ca="1" si="10"/>
        <v>-353847.59848216397</v>
      </c>
      <c r="BA22" s="51">
        <f t="shared" ca="1" si="10"/>
        <v>-323786.38182463375</v>
      </c>
      <c r="BB22" s="51">
        <f t="shared" ca="1" si="10"/>
        <v>-289805.88645094726</v>
      </c>
      <c r="BC22" s="51">
        <f t="shared" ca="1" si="10"/>
        <v>-270538.35201857373</v>
      </c>
      <c r="BD22" s="51">
        <f t="shared" ca="1" si="10"/>
        <v>-255479.58122891723</v>
      </c>
      <c r="BE22" s="51">
        <f t="shared" ca="1" si="10"/>
        <v>-242838.34733815485</v>
      </c>
      <c r="BF22" s="51">
        <f t="shared" ca="1" si="10"/>
        <v>-219215.5551145247</v>
      </c>
      <c r="BG22" s="51">
        <f t="shared" ca="1" si="10"/>
        <v>-205886.39518518621</v>
      </c>
      <c r="BH22" s="51">
        <f t="shared" ca="1" si="10"/>
        <v>-197453.03974273696</v>
      </c>
      <c r="BI22" s="51">
        <f t="shared" ca="1" si="10"/>
        <v>-127731.35351757334</v>
      </c>
      <c r="BJ22" s="51">
        <f t="shared" ca="1" si="10"/>
        <v>0</v>
      </c>
      <c r="BK22" s="51">
        <f t="shared" ca="1" si="10"/>
        <v>0</v>
      </c>
      <c r="BL22" s="51">
        <f t="shared" ca="1" si="10"/>
        <v>0</v>
      </c>
      <c r="BM22" s="51">
        <f ca="1">BM23*BM16</f>
        <v>0</v>
      </c>
      <c r="BN22" s="51">
        <f ca="1">BN23*BN16</f>
        <v>0</v>
      </c>
      <c r="BO22" s="51">
        <f ca="1">BO23*BO16</f>
        <v>0</v>
      </c>
      <c r="BP22" s="51">
        <f ca="1">BP23*BP16</f>
        <v>0</v>
      </c>
      <c r="BQ22" s="51">
        <f ca="1">BQ23*BQ16</f>
        <v>0</v>
      </c>
      <c r="BR22" s="51">
        <f t="shared" ref="BR22:BW22" ca="1" si="11">BR23*BR16</f>
        <v>0</v>
      </c>
      <c r="BS22" s="51">
        <f t="shared" ca="1" si="11"/>
        <v>0</v>
      </c>
      <c r="BT22" s="51">
        <f t="shared" ca="1" si="11"/>
        <v>0</v>
      </c>
      <c r="BU22" s="51">
        <f t="shared" ca="1" si="11"/>
        <v>0</v>
      </c>
      <c r="BV22" s="51">
        <f t="shared" ca="1" si="11"/>
        <v>0</v>
      </c>
      <c r="BW22" s="51">
        <f t="shared" ca="1" si="11"/>
        <v>0</v>
      </c>
    </row>
    <row r="23" spans="1:75" x14ac:dyDescent="0.3">
      <c r="A23" s="47" t="s">
        <v>380</v>
      </c>
      <c r="B23" s="47"/>
      <c r="C23" s="53"/>
      <c r="D23" s="53"/>
      <c r="E23" s="53"/>
      <c r="F23" s="53"/>
      <c r="G23" s="53"/>
      <c r="H23" s="53"/>
      <c r="I23" s="53"/>
      <c r="J23" s="53"/>
      <c r="K23" s="53"/>
      <c r="L23" s="53"/>
      <c r="M23" s="53"/>
      <c r="N23" s="53"/>
      <c r="O23" s="53"/>
      <c r="P23" s="53"/>
      <c r="Q23" s="53"/>
      <c r="R23" s="74">
        <f t="shared" ref="R23:AD23" si="12">R22/R16</f>
        <v>-5.0728330896916689E-2</v>
      </c>
      <c r="S23" s="74">
        <f t="shared" si="12"/>
        <v>-8.0365688765658652E-2</v>
      </c>
      <c r="T23" s="74">
        <f t="shared" si="12"/>
        <v>-8.3633398863458566E-2</v>
      </c>
      <c r="U23" s="74">
        <f t="shared" si="12"/>
        <v>-7.1456406767080066E-2</v>
      </c>
      <c r="V23" s="74">
        <f t="shared" si="12"/>
        <v>-7.3041806386392363E-2</v>
      </c>
      <c r="W23" s="74">
        <f t="shared" si="12"/>
        <v>-7.8437511233696841E-2</v>
      </c>
      <c r="X23" s="74">
        <f t="shared" si="12"/>
        <v>-8.4001739608374662E-2</v>
      </c>
      <c r="Y23" s="74">
        <f t="shared" si="12"/>
        <v>-7.2747013021544113E-2</v>
      </c>
      <c r="Z23" s="74">
        <f t="shared" si="12"/>
        <v>-7.8563513328930926E-2</v>
      </c>
      <c r="AA23" s="74">
        <f t="shared" si="12"/>
        <v>-7.831962881915934E-2</v>
      </c>
      <c r="AB23" s="74">
        <f t="shared" si="12"/>
        <v>-8.4637587456993096E-2</v>
      </c>
      <c r="AC23" s="74">
        <f t="shared" si="12"/>
        <v>-9.7593637261239374E-2</v>
      </c>
      <c r="AD23" s="74">
        <f t="shared" si="12"/>
        <v>-8.4194707694779852E-2</v>
      </c>
      <c r="AE23" s="74">
        <f>'CAPEX, Impostos e Abandono ($)'!AE71</f>
        <v>-8.880864413767077E-2</v>
      </c>
      <c r="AF23" s="74">
        <f>AF22/AF16</f>
        <v>-9.5305341661570092E-2</v>
      </c>
      <c r="AG23" s="74">
        <f ca="1">'CAPEX, Impostos e Abandono ($)'!AG71</f>
        <v>-0.1048455144644876</v>
      </c>
      <c r="AH23" s="74">
        <f ca="1">'CAPEX, Impostos e Abandono ($)'!AH71</f>
        <v>-9.6299652398529265E-2</v>
      </c>
      <c r="AI23" s="74">
        <f ca="1">'CAPEX, Impostos e Abandono ($)'!AI71</f>
        <v>-0.1005583723519704</v>
      </c>
      <c r="AJ23" s="74">
        <f ca="1">'CAPEX, Impostos e Abandono ($)'!AJ71</f>
        <v>-0.10847493160591691</v>
      </c>
      <c r="AK23" s="74">
        <f ca="1">'CAPEX, Impostos e Abandono ($)'!AK71</f>
        <v>-0.11129995854709392</v>
      </c>
      <c r="AL23" s="74">
        <f ca="1">'CAPEX, Impostos e Abandono ($)'!AL71</f>
        <v>-0.11643293981757732</v>
      </c>
      <c r="AM23" s="74">
        <f ca="1">'CAPEX, Impostos e Abandono ($)'!AM71</f>
        <v>-0.11105386530572317</v>
      </c>
      <c r="AN23" s="74">
        <f ca="1">'CAPEX, Impostos e Abandono ($)'!AN71</f>
        <v>-9.8691074842137516E-2</v>
      </c>
      <c r="AO23" s="74">
        <f ca="1">'CAPEX, Impostos e Abandono ($)'!AO71</f>
        <v>-9.1801269212573006E-2</v>
      </c>
      <c r="AP23" s="74">
        <f ca="1">'CAPEX, Impostos e Abandono ($)'!AP71</f>
        <v>-0.10213616313062882</v>
      </c>
      <c r="AQ23" s="74">
        <f ca="1">'CAPEX, Impostos e Abandono ($)'!AQ71</f>
        <v>-9.7527399615283908E-2</v>
      </c>
      <c r="AR23" s="74">
        <f ca="1">'CAPEX, Impostos e Abandono ($)'!AR71</f>
        <v>-9.544843736507555E-2</v>
      </c>
      <c r="AS23" s="74">
        <f ca="1">'CAPEX, Impostos e Abandono ($)'!AS71</f>
        <v>-9.2060515241005308E-2</v>
      </c>
      <c r="AT23" s="74">
        <f ca="1">'CAPEX, Impostos e Abandono ($)'!AT71</f>
        <v>-8.8254751539578014E-2</v>
      </c>
      <c r="AU23" s="74">
        <f ca="1">'CAPEX, Impostos e Abandono ($)'!AU71</f>
        <v>-8.5642200906578619E-2</v>
      </c>
      <c r="AV23" s="74">
        <f ca="1">'CAPEX, Impostos e Abandono ($)'!AV71</f>
        <v>-8.6126478523207803E-2</v>
      </c>
      <c r="AW23" s="74">
        <f ca="1">'CAPEX, Impostos e Abandono ($)'!AW71</f>
        <v>-8.6328376138738699E-2</v>
      </c>
      <c r="AX23" s="74">
        <f ca="1">'CAPEX, Impostos e Abandono ($)'!AX71</f>
        <v>-8.6325262476328851E-2</v>
      </c>
      <c r="AY23" s="74">
        <f ca="1">'CAPEX, Impostos e Abandono ($)'!AY71</f>
        <v>-8.6331495528463559E-2</v>
      </c>
      <c r="AZ23" s="74">
        <f ca="1">'CAPEX, Impostos e Abandono ($)'!AZ71</f>
        <v>-8.6335553029435269E-2</v>
      </c>
      <c r="BA23" s="74">
        <f ca="1">'CAPEX, Impostos e Abandono ($)'!BA71</f>
        <v>-8.6347199803266272E-2</v>
      </c>
      <c r="BB23" s="74">
        <f ca="1">'CAPEX, Impostos e Abandono ($)'!BB71</f>
        <v>-8.6359618052122555E-2</v>
      </c>
      <c r="BC23" s="74">
        <f ca="1">'CAPEX, Impostos e Abandono ($)'!BC71</f>
        <v>-8.6370866040618027E-2</v>
      </c>
      <c r="BD23" s="74">
        <f ca="1">'CAPEX, Impostos e Abandono ($)'!BD71</f>
        <v>-8.6375456137106524E-2</v>
      </c>
      <c r="BE23" s="74">
        <f ca="1">'CAPEX, Impostos e Abandono ($)'!BE71</f>
        <v>-8.6399952723578685E-2</v>
      </c>
      <c r="BF23" s="74">
        <f ca="1">'CAPEX, Impostos e Abandono ($)'!BF71</f>
        <v>-8.6411369064822108E-2</v>
      </c>
      <c r="BG23" s="74">
        <f ca="1">'CAPEX, Impostos e Abandono ($)'!BG71</f>
        <v>-8.6416242864443313E-2</v>
      </c>
      <c r="BH23" s="74">
        <f ca="1">'CAPEX, Impostos e Abandono ($)'!BH71</f>
        <v>-8.6411281369354789E-2</v>
      </c>
      <c r="BI23" s="74">
        <f ca="1">'CAPEX, Impostos e Abandono ($)'!BI71</f>
        <v>-8.6506084238310313E-2</v>
      </c>
      <c r="BJ23" s="74">
        <f ca="1">'CAPEX, Impostos e Abandono ($)'!BJ71</f>
        <v>0</v>
      </c>
      <c r="BK23" s="74">
        <f ca="1">'CAPEX, Impostos e Abandono ($)'!BK71</f>
        <v>0</v>
      </c>
      <c r="BL23" s="74">
        <f ca="1">'CAPEX, Impostos e Abandono ($)'!BL71</f>
        <v>0</v>
      </c>
      <c r="BM23" s="74">
        <f ca="1">'CAPEX, Impostos e Abandono ($)'!BM71</f>
        <v>0</v>
      </c>
      <c r="BN23" s="74">
        <f ca="1">'CAPEX, Impostos e Abandono ($)'!BN71</f>
        <v>0</v>
      </c>
      <c r="BO23" s="74">
        <f ca="1">'CAPEX, Impostos e Abandono ($)'!BO71</f>
        <v>0</v>
      </c>
      <c r="BP23" s="74">
        <f ca="1">'CAPEX, Impostos e Abandono ($)'!BP71</f>
        <v>0</v>
      </c>
      <c r="BQ23" s="74">
        <f ca="1">'CAPEX, Impostos e Abandono ($)'!BQ71</f>
        <v>0</v>
      </c>
      <c r="BR23" s="74">
        <f ca="1">'CAPEX, Impostos e Abandono ($)'!BR71</f>
        <v>0</v>
      </c>
      <c r="BS23" s="74">
        <f ca="1">'CAPEX, Impostos e Abandono ($)'!BS71</f>
        <v>0</v>
      </c>
      <c r="BT23" s="74">
        <f ca="1">'CAPEX, Impostos e Abandono ($)'!BT71</f>
        <v>0</v>
      </c>
      <c r="BU23" s="74">
        <f ca="1">'CAPEX, Impostos e Abandono ($)'!BU71</f>
        <v>0</v>
      </c>
      <c r="BV23" s="74">
        <f ca="1">'CAPEX, Impostos e Abandono ($)'!BV71</f>
        <v>0</v>
      </c>
      <c r="BW23" s="74">
        <f ca="1">'CAPEX, Impostos e Abandono ($)'!BW71</f>
        <v>0</v>
      </c>
    </row>
    <row r="24" spans="1:75" x14ac:dyDescent="0.3">
      <c r="A24" s="42" t="s">
        <v>601</v>
      </c>
      <c r="B24" s="47"/>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1">
        <f ca="1">AG16*-AG25</f>
        <v>0</v>
      </c>
      <c r="AH24" s="51">
        <f t="shared" ref="AH24:BL24" ca="1" si="13">AH16*-AH25</f>
        <v>0</v>
      </c>
      <c r="AI24" s="51">
        <f t="shared" ca="1" si="13"/>
        <v>0</v>
      </c>
      <c r="AJ24" s="51">
        <f t="shared" ca="1" si="13"/>
        <v>0</v>
      </c>
      <c r="AK24" s="51">
        <f t="shared" ca="1" si="13"/>
        <v>0</v>
      </c>
      <c r="AL24" s="51">
        <f t="shared" ca="1" si="13"/>
        <v>0</v>
      </c>
      <c r="AM24" s="51">
        <f t="shared" ca="1" si="13"/>
        <v>0</v>
      </c>
      <c r="AN24" s="51">
        <f t="shared" ca="1" si="13"/>
        <v>0</v>
      </c>
      <c r="AO24" s="51">
        <f t="shared" ca="1" si="13"/>
        <v>0</v>
      </c>
      <c r="AP24" s="51">
        <f t="shared" ca="1" si="13"/>
        <v>0</v>
      </c>
      <c r="AQ24" s="51">
        <f t="shared" ca="1" si="13"/>
        <v>0</v>
      </c>
      <c r="AR24" s="51">
        <f t="shared" ca="1" si="13"/>
        <v>0</v>
      </c>
      <c r="AS24" s="51">
        <f t="shared" ca="1" si="13"/>
        <v>0</v>
      </c>
      <c r="AT24" s="51">
        <f t="shared" ca="1" si="13"/>
        <v>0</v>
      </c>
      <c r="AU24" s="51">
        <f t="shared" ca="1" si="13"/>
        <v>0</v>
      </c>
      <c r="AV24" s="51">
        <f t="shared" ca="1" si="13"/>
        <v>0</v>
      </c>
      <c r="AW24" s="51">
        <f t="shared" ca="1" si="13"/>
        <v>0</v>
      </c>
      <c r="AX24" s="51">
        <f t="shared" ca="1" si="13"/>
        <v>0</v>
      </c>
      <c r="AY24" s="51">
        <f t="shared" ca="1" si="13"/>
        <v>0</v>
      </c>
      <c r="AZ24" s="51">
        <f t="shared" ca="1" si="13"/>
        <v>0</v>
      </c>
      <c r="BA24" s="51">
        <f t="shared" ca="1" si="13"/>
        <v>0</v>
      </c>
      <c r="BB24" s="51">
        <f t="shared" ca="1" si="13"/>
        <v>0</v>
      </c>
      <c r="BC24" s="51">
        <f t="shared" ca="1" si="13"/>
        <v>0</v>
      </c>
      <c r="BD24" s="51">
        <f t="shared" ca="1" si="13"/>
        <v>0</v>
      </c>
      <c r="BE24" s="51">
        <f t="shared" ca="1" si="13"/>
        <v>0</v>
      </c>
      <c r="BF24" s="51">
        <f t="shared" ca="1" si="13"/>
        <v>0</v>
      </c>
      <c r="BG24" s="51">
        <f t="shared" ca="1" si="13"/>
        <v>0</v>
      </c>
      <c r="BH24" s="51">
        <f t="shared" ca="1" si="13"/>
        <v>0</v>
      </c>
      <c r="BI24" s="51">
        <f t="shared" ca="1" si="13"/>
        <v>0</v>
      </c>
      <c r="BJ24" s="51">
        <f t="shared" ca="1" si="13"/>
        <v>0</v>
      </c>
      <c r="BK24" s="51">
        <f t="shared" ca="1" si="13"/>
        <v>0</v>
      </c>
      <c r="BL24" s="51">
        <f t="shared" ca="1" si="13"/>
        <v>0</v>
      </c>
      <c r="BM24" s="51">
        <f ca="1">BM16*-BM25</f>
        <v>0</v>
      </c>
      <c r="BN24" s="51">
        <f ca="1">BN16*-BN25</f>
        <v>0</v>
      </c>
      <c r="BO24" s="51">
        <f ca="1">BO16*-BO25</f>
        <v>0</v>
      </c>
      <c r="BP24" s="51">
        <f ca="1">BP16*-BP25</f>
        <v>0</v>
      </c>
      <c r="BQ24" s="51">
        <f ca="1">BQ16*-BQ25</f>
        <v>0</v>
      </c>
      <c r="BR24" s="51">
        <f t="shared" ref="BR24:BW24" ca="1" si="14">BR16*-BR25</f>
        <v>0</v>
      </c>
      <c r="BS24" s="51">
        <f t="shared" ca="1" si="14"/>
        <v>0</v>
      </c>
      <c r="BT24" s="51">
        <f t="shared" ca="1" si="14"/>
        <v>0</v>
      </c>
      <c r="BU24" s="51">
        <f t="shared" ca="1" si="14"/>
        <v>0</v>
      </c>
      <c r="BV24" s="51">
        <f t="shared" ca="1" si="14"/>
        <v>0</v>
      </c>
      <c r="BW24" s="51">
        <f t="shared" ca="1" si="14"/>
        <v>0</v>
      </c>
    </row>
    <row r="25" spans="1:75" x14ac:dyDescent="0.3">
      <c r="A25" s="47" t="s">
        <v>380</v>
      </c>
      <c r="B25" s="47"/>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74">
        <f>'Avaliação e Simulações'!$B$35</f>
        <v>0</v>
      </c>
      <c r="AH25" s="74">
        <f>'Avaliação e Simulações'!$B$35</f>
        <v>0</v>
      </c>
      <c r="AI25" s="74">
        <f>'Avaliação e Simulações'!$B$35</f>
        <v>0</v>
      </c>
      <c r="AJ25" s="74">
        <f>'Avaliação e Simulações'!$B$35</f>
        <v>0</v>
      </c>
      <c r="AK25" s="74">
        <f>'Avaliação e Simulações'!$B$35</f>
        <v>0</v>
      </c>
      <c r="AL25" s="74">
        <f>'Avaliação e Simulações'!$B$35</f>
        <v>0</v>
      </c>
      <c r="AM25" s="74">
        <f>'Avaliação e Simulações'!$B$35</f>
        <v>0</v>
      </c>
      <c r="AN25" s="74">
        <f>'Avaliação e Simulações'!$B$35</f>
        <v>0</v>
      </c>
      <c r="AO25" s="74">
        <f>'Avaliação e Simulações'!$B$35</f>
        <v>0</v>
      </c>
      <c r="AP25" s="74">
        <f>'Avaliação e Simulações'!$B$35</f>
        <v>0</v>
      </c>
      <c r="AQ25" s="74">
        <f>'Avaliação e Simulações'!$B$35</f>
        <v>0</v>
      </c>
      <c r="AR25" s="74">
        <f>'Avaliação e Simulações'!$B$35</f>
        <v>0</v>
      </c>
      <c r="AS25" s="74">
        <f>'Avaliação e Simulações'!$B$35</f>
        <v>0</v>
      </c>
      <c r="AT25" s="74">
        <f>'Avaliação e Simulações'!$B$35</f>
        <v>0</v>
      </c>
      <c r="AU25" s="74">
        <f>'Avaliação e Simulações'!$B$35</f>
        <v>0</v>
      </c>
      <c r="AV25" s="74">
        <f>'Avaliação e Simulações'!$B$35</f>
        <v>0</v>
      </c>
      <c r="AW25" s="74">
        <f>'Avaliação e Simulações'!$B$35</f>
        <v>0</v>
      </c>
      <c r="AX25" s="74">
        <f>'Avaliação e Simulações'!$B$35</f>
        <v>0</v>
      </c>
      <c r="AY25" s="74">
        <f>'Avaliação e Simulações'!$B$35</f>
        <v>0</v>
      </c>
      <c r="AZ25" s="74">
        <f>'Avaliação e Simulações'!$B$35</f>
        <v>0</v>
      </c>
      <c r="BA25" s="74">
        <f>'Avaliação e Simulações'!$B$35</f>
        <v>0</v>
      </c>
      <c r="BB25" s="74">
        <f>'Avaliação e Simulações'!$B$35</f>
        <v>0</v>
      </c>
      <c r="BC25" s="74">
        <f>'Avaliação e Simulações'!$B$35</f>
        <v>0</v>
      </c>
      <c r="BD25" s="74">
        <f>'Avaliação e Simulações'!$B$35</f>
        <v>0</v>
      </c>
      <c r="BE25" s="74">
        <f>'Avaliação e Simulações'!$B$35</f>
        <v>0</v>
      </c>
      <c r="BF25" s="74">
        <f>'Avaliação e Simulações'!$B$35</f>
        <v>0</v>
      </c>
      <c r="BG25" s="74">
        <f>'Avaliação e Simulações'!$B$35</f>
        <v>0</v>
      </c>
      <c r="BH25" s="74">
        <f>'Avaliação e Simulações'!$B$35</f>
        <v>0</v>
      </c>
      <c r="BI25" s="74">
        <f>'Avaliação e Simulações'!$B$35</f>
        <v>0</v>
      </c>
      <c r="BJ25" s="74">
        <f>'Avaliação e Simulações'!$B$35</f>
        <v>0</v>
      </c>
      <c r="BK25" s="74">
        <f>'Avaliação e Simulações'!$B$35</f>
        <v>0</v>
      </c>
      <c r="BL25" s="74">
        <f>'Avaliação e Simulações'!$B$35</f>
        <v>0</v>
      </c>
      <c r="BM25" s="74">
        <f>'Avaliação e Simulações'!$B$35</f>
        <v>0</v>
      </c>
      <c r="BN25" s="74">
        <f>'Avaliação e Simulações'!$B$35</f>
        <v>0</v>
      </c>
      <c r="BO25" s="74">
        <f>'Avaliação e Simulações'!$B$35</f>
        <v>0</v>
      </c>
      <c r="BP25" s="74">
        <f>'Avaliação e Simulações'!$B$35</f>
        <v>0</v>
      </c>
      <c r="BQ25" s="74">
        <f>'Avaliação e Simulações'!$B$35</f>
        <v>0</v>
      </c>
      <c r="BR25" s="74">
        <f>'Avaliação e Simulações'!$B$35</f>
        <v>0</v>
      </c>
      <c r="BS25" s="74">
        <f>'Avaliação e Simulações'!$B$35</f>
        <v>0</v>
      </c>
      <c r="BT25" s="74">
        <f>'Avaliação e Simulações'!$B$35</f>
        <v>0</v>
      </c>
      <c r="BU25" s="74">
        <f>'Avaliação e Simulações'!$B$35</f>
        <v>0</v>
      </c>
      <c r="BV25" s="74">
        <f>'Avaliação e Simulações'!$B$35</f>
        <v>0</v>
      </c>
      <c r="BW25" s="74">
        <f>'Avaliação e Simulações'!$B$35</f>
        <v>0</v>
      </c>
    </row>
    <row r="26" spans="1:75" x14ac:dyDescent="0.3">
      <c r="A26" s="38" t="s">
        <v>181</v>
      </c>
      <c r="B26" s="38"/>
      <c r="C26" s="48">
        <f>C17+C16</f>
        <v>23463</v>
      </c>
      <c r="D26" s="48">
        <f t="shared" ref="D26:BO26" si="15">D17+D16</f>
        <v>91938</v>
      </c>
      <c r="E26" s="48">
        <f t="shared" si="15"/>
        <v>107640</v>
      </c>
      <c r="F26" s="48">
        <f t="shared" si="15"/>
        <v>97070</v>
      </c>
      <c r="G26" s="48">
        <f t="shared" si="15"/>
        <v>320111</v>
      </c>
      <c r="H26" s="48">
        <f t="shared" si="15"/>
        <v>42902</v>
      </c>
      <c r="I26" s="48">
        <f t="shared" si="15"/>
        <v>279424</v>
      </c>
      <c r="J26" s="48">
        <f t="shared" si="15"/>
        <v>166670</v>
      </c>
      <c r="K26" s="48">
        <f t="shared" si="15"/>
        <v>214971</v>
      </c>
      <c r="L26" s="48">
        <f t="shared" si="15"/>
        <v>703967</v>
      </c>
      <c r="M26" s="48">
        <f t="shared" si="15"/>
        <v>16336</v>
      </c>
      <c r="N26" s="48">
        <f t="shared" si="15"/>
        <v>86557</v>
      </c>
      <c r="O26" s="48">
        <f t="shared" si="15"/>
        <v>169385</v>
      </c>
      <c r="P26" s="48">
        <f t="shared" si="15"/>
        <v>344981</v>
      </c>
      <c r="Q26" s="48">
        <f t="shared" si="15"/>
        <v>617259</v>
      </c>
      <c r="R26" s="48">
        <f t="shared" si="15"/>
        <v>418803</v>
      </c>
      <c r="S26" s="48">
        <f t="shared" si="15"/>
        <v>554274</v>
      </c>
      <c r="T26" s="48">
        <f t="shared" si="15"/>
        <v>486261</v>
      </c>
      <c r="U26" s="48">
        <f t="shared" si="15"/>
        <v>1053307</v>
      </c>
      <c r="V26" s="48">
        <f t="shared" si="15"/>
        <v>2512645</v>
      </c>
      <c r="W26" s="48">
        <f t="shared" si="15"/>
        <v>1067900</v>
      </c>
      <c r="X26" s="48">
        <f t="shared" si="15"/>
        <v>1216649</v>
      </c>
      <c r="Y26" s="48">
        <f t="shared" si="15"/>
        <v>1373475</v>
      </c>
      <c r="Z26" s="48">
        <f t="shared" si="15"/>
        <v>599148</v>
      </c>
      <c r="AA26" s="48">
        <f t="shared" si="15"/>
        <v>4257172</v>
      </c>
      <c r="AB26" s="48">
        <f>AB17+AB16</f>
        <v>1833069</v>
      </c>
      <c r="AC26" s="48">
        <f t="shared" si="15"/>
        <v>1468134</v>
      </c>
      <c r="AD26" s="48">
        <f t="shared" si="15"/>
        <v>2156084</v>
      </c>
      <c r="AE26" s="48">
        <f t="shared" si="15"/>
        <v>2201617</v>
      </c>
      <c r="AF26" s="48">
        <f t="shared" si="15"/>
        <v>7658904</v>
      </c>
      <c r="AG26" s="48">
        <f t="shared" ca="1" si="15"/>
        <v>11578238.1143579</v>
      </c>
      <c r="AH26" s="48">
        <f t="shared" ca="1" si="15"/>
        <v>14393727.109649867</v>
      </c>
      <c r="AI26" s="48">
        <f t="shared" ca="1" si="15"/>
        <v>14107947.516699342</v>
      </c>
      <c r="AJ26" s="48">
        <f t="shared" ca="1" si="15"/>
        <v>14090806.818101604</v>
      </c>
      <c r="AK26" s="48">
        <f t="shared" ca="1" si="15"/>
        <v>13027555.352277273</v>
      </c>
      <c r="AL26" s="48">
        <f t="shared" ca="1" si="15"/>
        <v>13065700.39631992</v>
      </c>
      <c r="AM26" s="48">
        <f t="shared" ca="1" si="15"/>
        <v>11984575.366165532</v>
      </c>
      <c r="AN26" s="48">
        <f t="shared" ca="1" si="15"/>
        <v>10421316.343057122</v>
      </c>
      <c r="AO26" s="48">
        <f t="shared" ca="1" si="15"/>
        <v>9436844.1341967061</v>
      </c>
      <c r="AP26" s="48">
        <f t="shared" ca="1" si="15"/>
        <v>8401326.0226886682</v>
      </c>
      <c r="AQ26" s="48">
        <f t="shared" ca="1" si="15"/>
        <v>7735616.2614705609</v>
      </c>
      <c r="AR26" s="48">
        <f t="shared" ca="1" si="15"/>
        <v>7009328.7913604472</v>
      </c>
      <c r="AS26" s="48">
        <f t="shared" ca="1" si="15"/>
        <v>6248014.2601275258</v>
      </c>
      <c r="AT26" s="48">
        <f t="shared" ca="1" si="15"/>
        <v>5572733.3847894482</v>
      </c>
      <c r="AU26" s="48">
        <f t="shared" ca="1" si="15"/>
        <v>5128485.713289259</v>
      </c>
      <c r="AV26" s="48">
        <f t="shared" ca="1" si="15"/>
        <v>4817850.2724379012</v>
      </c>
      <c r="AW26" s="48">
        <f t="shared" ca="1" si="15"/>
        <v>3882408.9566835836</v>
      </c>
      <c r="AX26" s="48">
        <f t="shared" ca="1" si="15"/>
        <v>3519156.6577905715</v>
      </c>
      <c r="AY26" s="48">
        <f t="shared" ca="1" si="15"/>
        <v>3202356.7268723669</v>
      </c>
      <c r="AZ26" s="48">
        <f t="shared" ca="1" si="15"/>
        <v>2889195.6610981175</v>
      </c>
      <c r="BA26" s="48">
        <f t="shared" ca="1" si="15"/>
        <v>2660544.9696878074</v>
      </c>
      <c r="BB26" s="48">
        <f t="shared" ca="1" si="15"/>
        <v>2367689.3196315337</v>
      </c>
      <c r="BC26" s="48">
        <f t="shared" ca="1" si="15"/>
        <v>2194842.6694364534</v>
      </c>
      <c r="BD26" s="48">
        <f t="shared" ca="1" si="15"/>
        <v>2047373.6492178112</v>
      </c>
      <c r="BE26" s="48">
        <f t="shared" ca="1" si="15"/>
        <v>1935078.7778364324</v>
      </c>
      <c r="BF26" s="48">
        <f t="shared" ca="1" si="15"/>
        <v>1680878.8436475447</v>
      </c>
      <c r="BG26" s="48">
        <f t="shared" ca="1" si="15"/>
        <v>1455422.1509949914</v>
      </c>
      <c r="BH26" s="48">
        <f t="shared" ca="1" si="15"/>
        <v>1652759.7279910324</v>
      </c>
      <c r="BI26" s="48">
        <f t="shared" ca="1" si="15"/>
        <v>1474655.166555397</v>
      </c>
      <c r="BJ26" s="48">
        <f t="shared" ca="1" si="15"/>
        <v>0</v>
      </c>
      <c r="BK26" s="48">
        <f t="shared" ca="1" si="15"/>
        <v>0</v>
      </c>
      <c r="BL26" s="48">
        <f t="shared" ca="1" si="15"/>
        <v>0</v>
      </c>
      <c r="BM26" s="48">
        <f t="shared" ca="1" si="15"/>
        <v>0</v>
      </c>
      <c r="BN26" s="48">
        <f t="shared" ca="1" si="15"/>
        <v>0</v>
      </c>
      <c r="BO26" s="48">
        <f t="shared" ca="1" si="15"/>
        <v>0</v>
      </c>
      <c r="BP26" s="48">
        <f t="shared" ref="BP26:BW26" ca="1" si="16">BP17+BP16</f>
        <v>0</v>
      </c>
      <c r="BQ26" s="48">
        <f t="shared" ca="1" si="16"/>
        <v>0</v>
      </c>
      <c r="BR26" s="48">
        <f t="shared" ca="1" si="16"/>
        <v>0</v>
      </c>
      <c r="BS26" s="48">
        <f t="shared" ca="1" si="16"/>
        <v>0</v>
      </c>
      <c r="BT26" s="48">
        <f t="shared" ca="1" si="16"/>
        <v>0</v>
      </c>
      <c r="BU26" s="48">
        <f t="shared" ca="1" si="16"/>
        <v>0</v>
      </c>
      <c r="BV26" s="48">
        <f t="shared" ca="1" si="16"/>
        <v>0</v>
      </c>
      <c r="BW26" s="48">
        <f t="shared" ca="1" si="16"/>
        <v>0</v>
      </c>
    </row>
    <row r="27" spans="1:75" x14ac:dyDescent="0.3">
      <c r="A27" s="1" t="s">
        <v>182</v>
      </c>
      <c r="C27" s="48">
        <f>C28+C30+C38+C39+C40+C41</f>
        <v>-25578</v>
      </c>
      <c r="D27" s="48">
        <f>D28+D30+D38+D39+D40+D41</f>
        <v>-33229</v>
      </c>
      <c r="E27" s="48">
        <f>E28+E30+E38+E39+E40+E41</f>
        <v>-39569</v>
      </c>
      <c r="F27" s="48">
        <f t="shared" ref="F27:BQ27" si="17">F28+F30+F38+F39+F40+F41</f>
        <v>-51435</v>
      </c>
      <c r="G27" s="48">
        <f t="shared" si="17"/>
        <v>-149811</v>
      </c>
      <c r="H27" s="48">
        <f t="shared" si="17"/>
        <v>-21686</v>
      </c>
      <c r="I27" s="48">
        <f t="shared" si="17"/>
        <v>-66542</v>
      </c>
      <c r="J27" s="48">
        <f t="shared" si="17"/>
        <v>-168981</v>
      </c>
      <c r="K27" s="48">
        <f t="shared" si="17"/>
        <v>431498</v>
      </c>
      <c r="L27" s="48">
        <f t="shared" si="17"/>
        <v>174289</v>
      </c>
      <c r="M27" s="48">
        <f t="shared" si="17"/>
        <v>34576</v>
      </c>
      <c r="N27" s="48">
        <f t="shared" si="17"/>
        <v>15333</v>
      </c>
      <c r="O27" s="48">
        <f t="shared" si="17"/>
        <v>-61362</v>
      </c>
      <c r="P27" s="48">
        <f t="shared" si="17"/>
        <v>336943</v>
      </c>
      <c r="Q27" s="48">
        <f t="shared" si="17"/>
        <v>325490</v>
      </c>
      <c r="R27" s="48">
        <f t="shared" si="17"/>
        <v>-102030</v>
      </c>
      <c r="S27" s="48">
        <f t="shared" si="17"/>
        <v>-132854</v>
      </c>
      <c r="T27" s="48">
        <f t="shared" si="17"/>
        <v>-54533</v>
      </c>
      <c r="U27" s="48">
        <f t="shared" si="17"/>
        <v>-101785</v>
      </c>
      <c r="V27" s="48">
        <f t="shared" si="17"/>
        <v>-391202</v>
      </c>
      <c r="W27" s="48">
        <f t="shared" si="17"/>
        <v>-117187</v>
      </c>
      <c r="X27" s="48">
        <f t="shared" si="17"/>
        <v>-194006</v>
      </c>
      <c r="Y27" s="48">
        <f t="shared" si="17"/>
        <v>-95883</v>
      </c>
      <c r="Z27" s="48">
        <f t="shared" si="17"/>
        <v>66117</v>
      </c>
      <c r="AA27" s="48">
        <f t="shared" si="17"/>
        <v>-340959</v>
      </c>
      <c r="AB27" s="48">
        <f t="shared" si="17"/>
        <v>-313226</v>
      </c>
      <c r="AC27" s="48">
        <f t="shared" si="17"/>
        <v>-286945</v>
      </c>
      <c r="AD27" s="48">
        <f t="shared" si="17"/>
        <v>76240</v>
      </c>
      <c r="AE27" s="48">
        <f t="shared" si="17"/>
        <v>20889</v>
      </c>
      <c r="AF27" s="48">
        <f t="shared" si="17"/>
        <v>-503042</v>
      </c>
      <c r="AG27" s="48">
        <f t="shared" ca="1" si="17"/>
        <v>-781164.10743644612</v>
      </c>
      <c r="AH27" s="48">
        <f t="shared" ca="1" si="17"/>
        <v>-968608.8050036123</v>
      </c>
      <c r="AI27" s="48">
        <f t="shared" ca="1" si="17"/>
        <v>-1002685.3817559344</v>
      </c>
      <c r="AJ27" s="48">
        <f t="shared" ca="1" si="17"/>
        <v>-1037779.370117392</v>
      </c>
      <c r="AK27" s="48">
        <f t="shared" ca="1" si="17"/>
        <v>-1071462.5776831186</v>
      </c>
      <c r="AL27" s="48">
        <f t="shared" ca="1" si="17"/>
        <v>-1103606.4550136125</v>
      </c>
      <c r="AM27" s="48">
        <f t="shared" ca="1" si="17"/>
        <v>-1136714.6486640212</v>
      </c>
      <c r="AN27" s="48">
        <f t="shared" ca="1" si="17"/>
        <v>-1170816.088123942</v>
      </c>
      <c r="AO27" s="48">
        <f t="shared" ca="1" si="17"/>
        <v>-1205940.5707676606</v>
      </c>
      <c r="AP27" s="48">
        <f t="shared" ca="1" si="17"/>
        <v>-1242118.7878906908</v>
      </c>
      <c r="AQ27" s="48">
        <f t="shared" ca="1" si="17"/>
        <v>-1279382.351527412</v>
      </c>
      <c r="AR27" s="48">
        <f t="shared" ca="1" si="17"/>
        <v>-1317763.8220732347</v>
      </c>
      <c r="AS27" s="48">
        <f t="shared" ca="1" si="17"/>
        <v>-1357296.7367354322</v>
      </c>
      <c r="AT27" s="48">
        <f t="shared" ca="1" si="17"/>
        <v>-1398015.6388374956</v>
      </c>
      <c r="AU27" s="48">
        <f t="shared" ca="1" si="17"/>
        <v>-1333830.9869013072</v>
      </c>
      <c r="AV27" s="48">
        <f t="shared" ca="1" si="17"/>
        <v>-1217583.5534901533</v>
      </c>
      <c r="AW27" s="48">
        <f t="shared" ca="1" si="17"/>
        <v>-988310.1964854151</v>
      </c>
      <c r="AX27" s="48">
        <f t="shared" ca="1" si="17"/>
        <v>-891932.39533312456</v>
      </c>
      <c r="AY27" s="48">
        <f t="shared" ca="1" si="17"/>
        <v>-807372.76630257571</v>
      </c>
      <c r="AZ27" s="48">
        <f t="shared" ca="1" si="17"/>
        <v>-727387.834041683</v>
      </c>
      <c r="BA27" s="48">
        <f t="shared" ca="1" si="17"/>
        <v>-665502.63038108987</v>
      </c>
      <c r="BB27" s="48">
        <f t="shared" ca="1" si="17"/>
        <v>-595574.29507145693</v>
      </c>
      <c r="BC27" s="48">
        <f t="shared" ca="1" si="17"/>
        <v>-555905.56504756841</v>
      </c>
      <c r="BD27" s="48">
        <f t="shared" ca="1" si="17"/>
        <v>-524934.71869167662</v>
      </c>
      <c r="BE27" s="48">
        <f t="shared" ca="1" si="17"/>
        <v>-498819.26661440573</v>
      </c>
      <c r="BF27" s="48">
        <f t="shared" ca="1" si="17"/>
        <v>-450235.70974274317</v>
      </c>
      <c r="BG27" s="48">
        <f t="shared" ca="1" si="17"/>
        <v>-422835.77532815811</v>
      </c>
      <c r="BH27" s="48">
        <f t="shared" ca="1" si="17"/>
        <v>-405539.19481022301</v>
      </c>
      <c r="BI27" s="48">
        <f t="shared" ca="1" si="17"/>
        <v>-262053.71220536355</v>
      </c>
      <c r="BJ27" s="48">
        <f t="shared" ca="1" si="17"/>
        <v>0</v>
      </c>
      <c r="BK27" s="48">
        <f t="shared" ca="1" si="17"/>
        <v>0</v>
      </c>
      <c r="BL27" s="48">
        <f t="shared" ca="1" si="17"/>
        <v>0</v>
      </c>
      <c r="BM27" s="48">
        <f t="shared" ca="1" si="17"/>
        <v>0</v>
      </c>
      <c r="BN27" s="48">
        <f t="shared" ca="1" si="17"/>
        <v>0</v>
      </c>
      <c r="BO27" s="48">
        <f t="shared" ca="1" si="17"/>
        <v>0</v>
      </c>
      <c r="BP27" s="48">
        <f t="shared" ca="1" si="17"/>
        <v>0</v>
      </c>
      <c r="BQ27" s="48">
        <f t="shared" ca="1" si="17"/>
        <v>0</v>
      </c>
      <c r="BR27" s="48">
        <f t="shared" ref="BR27:BW27" ca="1" si="18">BR28+BR30+BR38+BR39+BR40+BR41</f>
        <v>0</v>
      </c>
      <c r="BS27" s="48">
        <f t="shared" ca="1" si="18"/>
        <v>0</v>
      </c>
      <c r="BT27" s="48">
        <f t="shared" ca="1" si="18"/>
        <v>0</v>
      </c>
      <c r="BU27" s="48">
        <f t="shared" ca="1" si="18"/>
        <v>0</v>
      </c>
      <c r="BV27" s="48">
        <f t="shared" ca="1" si="18"/>
        <v>0</v>
      </c>
      <c r="BW27" s="48">
        <f t="shared" ca="1" si="18"/>
        <v>0</v>
      </c>
    </row>
    <row r="28" spans="1:75" x14ac:dyDescent="0.3">
      <c r="A28" s="42" t="s">
        <v>183</v>
      </c>
      <c r="B28" s="42"/>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1">
        <f>-('DRE - Economática'!BC197-'DRE - Economática'!BB197)</f>
        <v>-96642</v>
      </c>
      <c r="AC28" s="51">
        <f>-('DRE - Economática'!BD197-'DRE - Economática'!BC197)</f>
        <v>-165166</v>
      </c>
      <c r="AD28" s="51">
        <f>-('DRE - Economática'!BE197-'DRE - Economática'!BD197)</f>
        <v>261808</v>
      </c>
      <c r="AE28" s="51">
        <f>-('DRE - Economática'!BF197-'DRE - Economática'!BE197)</f>
        <v>0</v>
      </c>
      <c r="AF28" s="53"/>
      <c r="AG28" s="51">
        <f ca="1">AG29*AG16</f>
        <v>0</v>
      </c>
      <c r="AH28" s="51">
        <f t="shared" ref="AH28:BK28" ca="1" si="19">AH29*AH16</f>
        <v>0</v>
      </c>
      <c r="AI28" s="51">
        <f t="shared" ca="1" si="19"/>
        <v>0</v>
      </c>
      <c r="AJ28" s="51">
        <f t="shared" ca="1" si="19"/>
        <v>0</v>
      </c>
      <c r="AK28" s="51">
        <f t="shared" ca="1" si="19"/>
        <v>0</v>
      </c>
      <c r="AL28" s="51">
        <f t="shared" ca="1" si="19"/>
        <v>0</v>
      </c>
      <c r="AM28" s="51">
        <f t="shared" ca="1" si="19"/>
        <v>0</v>
      </c>
      <c r="AN28" s="51">
        <f t="shared" ca="1" si="19"/>
        <v>0</v>
      </c>
      <c r="AO28" s="51">
        <f t="shared" ca="1" si="19"/>
        <v>0</v>
      </c>
      <c r="AP28" s="51">
        <f t="shared" ca="1" si="19"/>
        <v>0</v>
      </c>
      <c r="AQ28" s="51">
        <f t="shared" ca="1" si="19"/>
        <v>0</v>
      </c>
      <c r="AR28" s="51">
        <f t="shared" ca="1" si="19"/>
        <v>0</v>
      </c>
      <c r="AS28" s="51">
        <f t="shared" ca="1" si="19"/>
        <v>0</v>
      </c>
      <c r="AT28" s="51">
        <f t="shared" ca="1" si="19"/>
        <v>0</v>
      </c>
      <c r="AU28" s="51">
        <f t="shared" ca="1" si="19"/>
        <v>0</v>
      </c>
      <c r="AV28" s="51">
        <f t="shared" ca="1" si="19"/>
        <v>0</v>
      </c>
      <c r="AW28" s="51">
        <f t="shared" ca="1" si="19"/>
        <v>0</v>
      </c>
      <c r="AX28" s="51">
        <f t="shared" ca="1" si="19"/>
        <v>0</v>
      </c>
      <c r="AY28" s="51">
        <f t="shared" ca="1" si="19"/>
        <v>0</v>
      </c>
      <c r="AZ28" s="51">
        <f t="shared" ca="1" si="19"/>
        <v>0</v>
      </c>
      <c r="BA28" s="51">
        <f t="shared" ca="1" si="19"/>
        <v>0</v>
      </c>
      <c r="BB28" s="51">
        <f t="shared" ca="1" si="19"/>
        <v>0</v>
      </c>
      <c r="BC28" s="51">
        <f t="shared" ca="1" si="19"/>
        <v>0</v>
      </c>
      <c r="BD28" s="51">
        <f t="shared" ca="1" si="19"/>
        <v>0</v>
      </c>
      <c r="BE28" s="51">
        <f t="shared" ca="1" si="19"/>
        <v>0</v>
      </c>
      <c r="BF28" s="51">
        <f t="shared" ca="1" si="19"/>
        <v>0</v>
      </c>
      <c r="BG28" s="51">
        <f t="shared" ca="1" si="19"/>
        <v>0</v>
      </c>
      <c r="BH28" s="51">
        <f t="shared" ca="1" si="19"/>
        <v>0</v>
      </c>
      <c r="BI28" s="51">
        <f t="shared" ca="1" si="19"/>
        <v>0</v>
      </c>
      <c r="BJ28" s="51">
        <f t="shared" ca="1" si="19"/>
        <v>0</v>
      </c>
      <c r="BK28" s="51">
        <f t="shared" ca="1" si="19"/>
        <v>0</v>
      </c>
      <c r="BL28" s="51">
        <f t="shared" ref="BL28:BW28" ca="1" si="20">BL29*BL16</f>
        <v>0</v>
      </c>
      <c r="BM28" s="51">
        <f t="shared" ca="1" si="20"/>
        <v>0</v>
      </c>
      <c r="BN28" s="51">
        <f t="shared" ca="1" si="20"/>
        <v>0</v>
      </c>
      <c r="BO28" s="51">
        <f t="shared" ca="1" si="20"/>
        <v>0</v>
      </c>
      <c r="BP28" s="51">
        <f t="shared" ca="1" si="20"/>
        <v>0</v>
      </c>
      <c r="BQ28" s="51">
        <f t="shared" ca="1" si="20"/>
        <v>0</v>
      </c>
      <c r="BR28" s="51">
        <f t="shared" ca="1" si="20"/>
        <v>0</v>
      </c>
      <c r="BS28" s="51">
        <f t="shared" ca="1" si="20"/>
        <v>0</v>
      </c>
      <c r="BT28" s="51">
        <f t="shared" ca="1" si="20"/>
        <v>0</v>
      </c>
      <c r="BU28" s="51">
        <f t="shared" ca="1" si="20"/>
        <v>0</v>
      </c>
      <c r="BV28" s="51">
        <f t="shared" ca="1" si="20"/>
        <v>0</v>
      </c>
      <c r="BW28" s="51">
        <f t="shared" ca="1" si="20"/>
        <v>0</v>
      </c>
    </row>
    <row r="29" spans="1:75" x14ac:dyDescent="0.3">
      <c r="A29" s="47" t="s">
        <v>380</v>
      </c>
      <c r="C29" s="69">
        <f t="shared" ref="C29:AA29" si="21">C28/C16</f>
        <v>0</v>
      </c>
      <c r="D29" s="69">
        <f t="shared" si="21"/>
        <v>0</v>
      </c>
      <c r="E29" s="69">
        <f t="shared" si="21"/>
        <v>0</v>
      </c>
      <c r="F29" s="69">
        <f t="shared" si="21"/>
        <v>0</v>
      </c>
      <c r="G29" s="69">
        <f t="shared" si="21"/>
        <v>0</v>
      </c>
      <c r="H29" s="69">
        <f t="shared" si="21"/>
        <v>0</v>
      </c>
      <c r="I29" s="69">
        <f t="shared" si="21"/>
        <v>0</v>
      </c>
      <c r="J29" s="69">
        <f t="shared" si="21"/>
        <v>0</v>
      </c>
      <c r="K29" s="69">
        <f t="shared" si="21"/>
        <v>0</v>
      </c>
      <c r="L29" s="69">
        <f t="shared" si="21"/>
        <v>0</v>
      </c>
      <c r="M29" s="69">
        <f t="shared" si="21"/>
        <v>0</v>
      </c>
      <c r="N29" s="69">
        <f t="shared" si="21"/>
        <v>0</v>
      </c>
      <c r="O29" s="69">
        <f t="shared" si="21"/>
        <v>0</v>
      </c>
      <c r="P29" s="69">
        <f t="shared" si="21"/>
        <v>0</v>
      </c>
      <c r="Q29" s="69">
        <f t="shared" si="21"/>
        <v>0</v>
      </c>
      <c r="R29" s="69">
        <f t="shared" si="21"/>
        <v>0</v>
      </c>
      <c r="S29" s="69">
        <f t="shared" si="21"/>
        <v>0</v>
      </c>
      <c r="T29" s="69">
        <f t="shared" si="21"/>
        <v>0</v>
      </c>
      <c r="U29" s="69">
        <f t="shared" si="21"/>
        <v>0</v>
      </c>
      <c r="V29" s="69">
        <f t="shared" si="21"/>
        <v>0</v>
      </c>
      <c r="W29" s="69">
        <f t="shared" si="21"/>
        <v>0</v>
      </c>
      <c r="X29" s="69">
        <f t="shared" si="21"/>
        <v>0</v>
      </c>
      <c r="Y29" s="69">
        <f t="shared" si="21"/>
        <v>0</v>
      </c>
      <c r="Z29" s="69">
        <f t="shared" si="21"/>
        <v>0</v>
      </c>
      <c r="AA29" s="69">
        <f t="shared" si="21"/>
        <v>0</v>
      </c>
      <c r="AB29" s="69">
        <f>AB28/AB16</f>
        <v>-3.4331632299628233E-2</v>
      </c>
      <c r="AC29" s="69">
        <f>AC28/AC16</f>
        <v>-7.1463123581368346E-2</v>
      </c>
      <c r="AD29" s="69">
        <f>AD28/AD16</f>
        <v>6.9193975603658017E-2</v>
      </c>
      <c r="AE29" s="69">
        <f>AVERAGE(AB29:AD29)</f>
        <v>-1.2200260092446185E-2</v>
      </c>
      <c r="AF29" s="69">
        <f>AF28/AF16</f>
        <v>0</v>
      </c>
      <c r="AG29" s="69">
        <v>0</v>
      </c>
      <c r="AH29" s="69">
        <f>AG29</f>
        <v>0</v>
      </c>
      <c r="AI29" s="69">
        <f t="shared" ref="AI29:BW29" si="22">AH29</f>
        <v>0</v>
      </c>
      <c r="AJ29" s="69">
        <f t="shared" si="22"/>
        <v>0</v>
      </c>
      <c r="AK29" s="69">
        <f t="shared" si="22"/>
        <v>0</v>
      </c>
      <c r="AL29" s="69">
        <f t="shared" si="22"/>
        <v>0</v>
      </c>
      <c r="AM29" s="69">
        <f t="shared" si="22"/>
        <v>0</v>
      </c>
      <c r="AN29" s="69">
        <f t="shared" si="22"/>
        <v>0</v>
      </c>
      <c r="AO29" s="69">
        <f t="shared" si="22"/>
        <v>0</v>
      </c>
      <c r="AP29" s="69">
        <f t="shared" si="22"/>
        <v>0</v>
      </c>
      <c r="AQ29" s="69">
        <f t="shared" si="22"/>
        <v>0</v>
      </c>
      <c r="AR29" s="69">
        <f t="shared" si="22"/>
        <v>0</v>
      </c>
      <c r="AS29" s="69">
        <f t="shared" si="22"/>
        <v>0</v>
      </c>
      <c r="AT29" s="69">
        <f t="shared" si="22"/>
        <v>0</v>
      </c>
      <c r="AU29" s="69">
        <f t="shared" si="22"/>
        <v>0</v>
      </c>
      <c r="AV29" s="69">
        <f t="shared" si="22"/>
        <v>0</v>
      </c>
      <c r="AW29" s="69">
        <f t="shared" si="22"/>
        <v>0</v>
      </c>
      <c r="AX29" s="69">
        <f t="shared" si="22"/>
        <v>0</v>
      </c>
      <c r="AY29" s="69">
        <f t="shared" si="22"/>
        <v>0</v>
      </c>
      <c r="AZ29" s="69">
        <f t="shared" si="22"/>
        <v>0</v>
      </c>
      <c r="BA29" s="69">
        <f t="shared" si="22"/>
        <v>0</v>
      </c>
      <c r="BB29" s="69">
        <f t="shared" si="22"/>
        <v>0</v>
      </c>
      <c r="BC29" s="69">
        <f t="shared" si="22"/>
        <v>0</v>
      </c>
      <c r="BD29" s="69">
        <f t="shared" si="22"/>
        <v>0</v>
      </c>
      <c r="BE29" s="69">
        <f t="shared" si="22"/>
        <v>0</v>
      </c>
      <c r="BF29" s="69">
        <f t="shared" si="22"/>
        <v>0</v>
      </c>
      <c r="BG29" s="69">
        <f t="shared" si="22"/>
        <v>0</v>
      </c>
      <c r="BH29" s="69">
        <f t="shared" si="22"/>
        <v>0</v>
      </c>
      <c r="BI29" s="69">
        <f t="shared" si="22"/>
        <v>0</v>
      </c>
      <c r="BJ29" s="69">
        <f t="shared" si="22"/>
        <v>0</v>
      </c>
      <c r="BK29" s="69">
        <f t="shared" si="22"/>
        <v>0</v>
      </c>
      <c r="BL29" s="69">
        <f t="shared" si="22"/>
        <v>0</v>
      </c>
      <c r="BM29" s="69">
        <f t="shared" si="22"/>
        <v>0</v>
      </c>
      <c r="BN29" s="69">
        <f t="shared" si="22"/>
        <v>0</v>
      </c>
      <c r="BO29" s="69">
        <f t="shared" si="22"/>
        <v>0</v>
      </c>
      <c r="BP29" s="69">
        <f t="shared" si="22"/>
        <v>0</v>
      </c>
      <c r="BQ29" s="69">
        <f t="shared" si="22"/>
        <v>0</v>
      </c>
      <c r="BR29" s="69">
        <f t="shared" si="22"/>
        <v>0</v>
      </c>
      <c r="BS29" s="69">
        <f t="shared" si="22"/>
        <v>0</v>
      </c>
      <c r="BT29" s="69">
        <f t="shared" si="22"/>
        <v>0</v>
      </c>
      <c r="BU29" s="69">
        <f t="shared" si="22"/>
        <v>0</v>
      </c>
      <c r="BV29" s="69">
        <f t="shared" si="22"/>
        <v>0</v>
      </c>
      <c r="BW29" s="69">
        <f t="shared" si="22"/>
        <v>0</v>
      </c>
    </row>
    <row r="30" spans="1:75" x14ac:dyDescent="0.3">
      <c r="A30" s="42" t="s">
        <v>184</v>
      </c>
      <c r="B30" s="42"/>
      <c r="C30" s="51">
        <f>-'DRE - Economática'!AI198</f>
        <v>-29111</v>
      </c>
      <c r="D30" s="51">
        <f>-('DRE - Economática'!AJ198-'DRE - Economática'!AI198)</f>
        <v>-26336</v>
      </c>
      <c r="E30" s="51">
        <f>-('DRE - Economática'!AK198-'DRE - Economática'!AJ198)</f>
        <v>-23666</v>
      </c>
      <c r="F30" s="51">
        <f>-('DRE - Economática'!AL198-'DRE - Economática'!AK198)</f>
        <v>-38858</v>
      </c>
      <c r="G30" s="51">
        <f t="shared" ref="G30:G49" si="23">SUM(C30:F30)</f>
        <v>-117971</v>
      </c>
      <c r="H30" s="51">
        <f>-'DRE - Economática'!AM198</f>
        <v>-21992</v>
      </c>
      <c r="I30" s="51">
        <f>-('DRE - Economática'!AN198-'DRE - Economática'!AM198)</f>
        <v>-33971</v>
      </c>
      <c r="J30" s="51">
        <f>-('DRE - Economática'!AO198-'DRE - Economática'!AN198)</f>
        <v>-103435</v>
      </c>
      <c r="K30" s="51">
        <f>-('DRE - Economática'!AP198-'DRE - Economática'!AO198)</f>
        <v>-86318</v>
      </c>
      <c r="L30" s="51">
        <f>SUM(H30:K30)</f>
        <v>-245716</v>
      </c>
      <c r="M30" s="51">
        <f>-'DRE - Economática'!AQ198</f>
        <v>-80528</v>
      </c>
      <c r="N30" s="51">
        <f>-('DRE - Economática'!AR198-'DRE - Economática'!AQ198)</f>
        <v>-74270</v>
      </c>
      <c r="O30" s="51">
        <f>-('DRE - Economática'!AS198-'DRE - Economática'!AR198)</f>
        <v>-89867</v>
      </c>
      <c r="P30" s="51">
        <f>-('DRE - Economática'!AT198-'DRE - Economática'!AS198)</f>
        <v>-93282</v>
      </c>
      <c r="Q30" s="51">
        <f t="shared" ref="Q30:Q49" si="24">SUM(M30:P30)</f>
        <v>-337947</v>
      </c>
      <c r="R30" s="51">
        <f>-'DRE - Economática'!AU198</f>
        <v>-81780</v>
      </c>
      <c r="S30" s="51">
        <f>-('DRE - Economática'!AV198-'DRE - Economática'!AU198)</f>
        <v>-70667</v>
      </c>
      <c r="T30" s="51">
        <f>-('DRE - Economática'!AW198-'DRE - Economática'!AV198)</f>
        <v>-70309</v>
      </c>
      <c r="U30" s="51">
        <f>-('DRE - Economática'!AX198-'DRE - Economática'!AW198)</f>
        <v>-92884</v>
      </c>
      <c r="V30" s="51">
        <f t="shared" ref="V30:V49" si="25">SUM(R30:U30)</f>
        <v>-315640</v>
      </c>
      <c r="W30" s="51">
        <f>-'DRE - Economática'!AY198</f>
        <v>-90184</v>
      </c>
      <c r="X30" s="51">
        <f>-('DRE - Economática'!AZ198-'DRE - Economática'!AY198)</f>
        <v>-84814</v>
      </c>
      <c r="Y30" s="51">
        <f>-('DRE - Economática'!BA198-'DRE - Economática'!AZ198)</f>
        <v>-99121</v>
      </c>
      <c r="Z30" s="51">
        <f>-('DRE - Economática'!BB198-'DRE - Economática'!BA198)</f>
        <v>-93410</v>
      </c>
      <c r="AA30" s="51">
        <f t="shared" ref="AA30:AA49" si="26">SUM(W30:Z30)</f>
        <v>-367529</v>
      </c>
      <c r="AB30" s="51">
        <f>-'DRE - Economática'!BC198</f>
        <v>-83634</v>
      </c>
      <c r="AC30" s="51">
        <f>-('DRE - Economática'!BD198-'DRE - Economática'!BC198)</f>
        <v>-104501</v>
      </c>
      <c r="AD30" s="51">
        <f>-('DRE - Economática'!BE198-'DRE - Economática'!BD198)</f>
        <v>-132419</v>
      </c>
      <c r="AE30" s="51">
        <f>-('DRE - Economática'!BF198-'DRE - Economática'!BE198)</f>
        <v>-246839</v>
      </c>
      <c r="AF30" s="51">
        <f>SUM(AB30:AE30)</f>
        <v>-567393</v>
      </c>
      <c r="AG30" s="51">
        <f ca="1">IF(AG$11=0,0,MIN(MAX(AF30*(1+AG$6),AG16*$Q31),$AF31*AG16))</f>
        <v>-781164.10743644612</v>
      </c>
      <c r="AH30" s="51">
        <f t="shared" ref="AH30:BW30" ca="1" si="27">IF(AH$11=0,0,MIN(MAX(AG30*(1+AH6),AH16*$Q$31),$AF$31*AH16))</f>
        <v>-968608.8050036123</v>
      </c>
      <c r="AI30" s="51">
        <f t="shared" ca="1" si="27"/>
        <v>-1002685.3817559344</v>
      </c>
      <c r="AJ30" s="51">
        <f t="shared" ca="1" si="27"/>
        <v>-1037779.370117392</v>
      </c>
      <c r="AK30" s="51">
        <f t="shared" ca="1" si="27"/>
        <v>-1071462.5776831186</v>
      </c>
      <c r="AL30" s="51">
        <f t="shared" ca="1" si="27"/>
        <v>-1103606.4550136125</v>
      </c>
      <c r="AM30" s="51">
        <f t="shared" ca="1" si="27"/>
        <v>-1136714.6486640212</v>
      </c>
      <c r="AN30" s="51">
        <f t="shared" ca="1" si="27"/>
        <v>-1170816.088123942</v>
      </c>
      <c r="AO30" s="51">
        <f t="shared" ca="1" si="27"/>
        <v>-1205940.5707676606</v>
      </c>
      <c r="AP30" s="51">
        <f t="shared" ca="1" si="27"/>
        <v>-1242118.7878906908</v>
      </c>
      <c r="AQ30" s="51">
        <f t="shared" ca="1" si="27"/>
        <v>-1279382.351527412</v>
      </c>
      <c r="AR30" s="51">
        <f t="shared" ca="1" si="27"/>
        <v>-1317763.8220732347</v>
      </c>
      <c r="AS30" s="51">
        <f t="shared" ca="1" si="27"/>
        <v>-1357296.7367354322</v>
      </c>
      <c r="AT30" s="51">
        <f t="shared" ca="1" si="27"/>
        <v>-1398015.6388374956</v>
      </c>
      <c r="AU30" s="51">
        <f t="shared" ca="1" si="27"/>
        <v>-1333830.9869013072</v>
      </c>
      <c r="AV30" s="51">
        <f t="shared" ca="1" si="27"/>
        <v>-1217583.5534901533</v>
      </c>
      <c r="AW30" s="51">
        <f t="shared" ca="1" si="27"/>
        <v>-988310.1964854151</v>
      </c>
      <c r="AX30" s="51">
        <f t="shared" ca="1" si="27"/>
        <v>-891932.39533312456</v>
      </c>
      <c r="AY30" s="51">
        <f t="shared" ca="1" si="27"/>
        <v>-807372.76630257571</v>
      </c>
      <c r="AZ30" s="51">
        <f t="shared" ca="1" si="27"/>
        <v>-727387.834041683</v>
      </c>
      <c r="BA30" s="51">
        <f t="shared" ca="1" si="27"/>
        <v>-665502.63038108987</v>
      </c>
      <c r="BB30" s="51">
        <f t="shared" ca="1" si="27"/>
        <v>-595574.29507145693</v>
      </c>
      <c r="BC30" s="51">
        <f t="shared" ca="1" si="27"/>
        <v>-555905.56504756841</v>
      </c>
      <c r="BD30" s="51">
        <f t="shared" ca="1" si="27"/>
        <v>-524934.71869167662</v>
      </c>
      <c r="BE30" s="51">
        <f t="shared" ca="1" si="27"/>
        <v>-498819.26661440573</v>
      </c>
      <c r="BF30" s="51">
        <f t="shared" ca="1" si="27"/>
        <v>-450235.70974274317</v>
      </c>
      <c r="BG30" s="51">
        <f t="shared" ca="1" si="27"/>
        <v>-422835.77532815811</v>
      </c>
      <c r="BH30" s="51">
        <f t="shared" ca="1" si="27"/>
        <v>-405539.19481022301</v>
      </c>
      <c r="BI30" s="51">
        <f t="shared" ca="1" si="27"/>
        <v>-262053.71220536355</v>
      </c>
      <c r="BJ30" s="51">
        <f t="shared" ca="1" si="27"/>
        <v>0</v>
      </c>
      <c r="BK30" s="51">
        <f t="shared" ca="1" si="27"/>
        <v>0</v>
      </c>
      <c r="BL30" s="51">
        <f t="shared" ca="1" si="27"/>
        <v>0</v>
      </c>
      <c r="BM30" s="51">
        <f t="shared" ca="1" si="27"/>
        <v>0</v>
      </c>
      <c r="BN30" s="51">
        <f t="shared" ca="1" si="27"/>
        <v>0</v>
      </c>
      <c r="BO30" s="51">
        <f t="shared" ca="1" si="27"/>
        <v>0</v>
      </c>
      <c r="BP30" s="51">
        <f t="shared" ca="1" si="27"/>
        <v>0</v>
      </c>
      <c r="BQ30" s="51">
        <f t="shared" ca="1" si="27"/>
        <v>0</v>
      </c>
      <c r="BR30" s="51">
        <f t="shared" ca="1" si="27"/>
        <v>0</v>
      </c>
      <c r="BS30" s="51">
        <f t="shared" ca="1" si="27"/>
        <v>0</v>
      </c>
      <c r="BT30" s="51">
        <f t="shared" ca="1" si="27"/>
        <v>0</v>
      </c>
      <c r="BU30" s="51">
        <f t="shared" ca="1" si="27"/>
        <v>0</v>
      </c>
      <c r="BV30" s="51">
        <f t="shared" ca="1" si="27"/>
        <v>0</v>
      </c>
      <c r="BW30" s="51">
        <f t="shared" ca="1" si="27"/>
        <v>0</v>
      </c>
    </row>
    <row r="31" spans="1:75" x14ac:dyDescent="0.3">
      <c r="A31" s="47" t="s">
        <v>380</v>
      </c>
      <c r="C31" s="69">
        <f t="shared" ref="C31:AE31" si="28">C30/C16</f>
        <v>-0.24848277922410481</v>
      </c>
      <c r="D31" s="69">
        <f t="shared" si="28"/>
        <v>-0.11000605668219127</v>
      </c>
      <c r="E31" s="69">
        <f t="shared" si="28"/>
        <v>-0.10535688051748009</v>
      </c>
      <c r="F31" s="69">
        <f t="shared" si="28"/>
        <v>-0.14513713288985669</v>
      </c>
      <c r="G31" s="69">
        <f t="shared" si="28"/>
        <v>-0.13896598030438675</v>
      </c>
      <c r="H31" s="69">
        <f t="shared" si="28"/>
        <v>-0.15772676090682847</v>
      </c>
      <c r="I31" s="69">
        <f t="shared" si="28"/>
        <v>-6.2005019393109741E-2</v>
      </c>
      <c r="J31" s="69">
        <f t="shared" si="28"/>
        <v>-0.25920635517297547</v>
      </c>
      <c r="K31" s="69">
        <f t="shared" si="28"/>
        <v>-0.15469314241167034</v>
      </c>
      <c r="L31" s="69">
        <f t="shared" si="28"/>
        <v>-0.14943083754878839</v>
      </c>
      <c r="M31" s="69">
        <f t="shared" si="28"/>
        <v>-0.36084996549591775</v>
      </c>
      <c r="N31" s="69">
        <f t="shared" si="28"/>
        <v>-0.23782153298344824</v>
      </c>
      <c r="O31" s="69">
        <f t="shared" si="28"/>
        <v>-0.18389179344990228</v>
      </c>
      <c r="P31" s="69">
        <f t="shared" si="28"/>
        <v>-0.10599805689546439</v>
      </c>
      <c r="Q31" s="69">
        <f t="shared" si="28"/>
        <v>-0.17747592802169956</v>
      </c>
      <c r="R31" s="69">
        <f t="shared" si="28"/>
        <v>-0.12479132778094834</v>
      </c>
      <c r="S31" s="69">
        <f t="shared" si="28"/>
        <v>-6.9089209717677402E-2</v>
      </c>
      <c r="T31" s="69">
        <f t="shared" si="28"/>
        <v>-7.4835261096925329E-2</v>
      </c>
      <c r="U31" s="69">
        <f t="shared" si="28"/>
        <v>-5.2231466303776328E-2</v>
      </c>
      <c r="V31" s="69">
        <f t="shared" si="28"/>
        <v>-7.1801588852418885E-2</v>
      </c>
      <c r="W31" s="69">
        <f t="shared" si="28"/>
        <v>-5.8943983477070187E-2</v>
      </c>
      <c r="X31" s="69">
        <f t="shared" si="28"/>
        <v>-4.5258633340181487E-2</v>
      </c>
      <c r="Y31" s="69">
        <f t="shared" si="28"/>
        <v>-4.9915247665156266E-2</v>
      </c>
      <c r="Z31" s="69">
        <f t="shared" si="28"/>
        <v>-9.5932152213854441E-2</v>
      </c>
      <c r="AA31" s="69">
        <f t="shared" si="28"/>
        <v>-5.7756021670549502E-2</v>
      </c>
      <c r="AB31" s="69">
        <f t="shared" si="28"/>
        <v>-2.9710599281338422E-2</v>
      </c>
      <c r="AC31" s="69">
        <f t="shared" si="28"/>
        <v>-4.5214922425781172E-2</v>
      </c>
      <c r="AD31" s="69">
        <f t="shared" si="28"/>
        <v>-3.4997391429829459E-2</v>
      </c>
      <c r="AE31" s="69">
        <f t="shared" si="28"/>
        <v>-8.2411580135937593E-2</v>
      </c>
      <c r="AF31" s="69">
        <f>AF30/AF16</f>
        <v>-4.7659894661429558E-2</v>
      </c>
      <c r="AG31" s="69">
        <f t="shared" ref="AG31:BW31" ca="1" si="29">AG30/AG16</f>
        <v>-4.7659894661429558E-2</v>
      </c>
      <c r="AH31" s="69">
        <f t="shared" ca="1" si="29"/>
        <v>-4.7659894661429558E-2</v>
      </c>
      <c r="AI31" s="69">
        <f ca="1">AI30/AI16</f>
        <v>-4.8387703090018039E-2</v>
      </c>
      <c r="AJ31" s="69">
        <f t="shared" ca="1" si="29"/>
        <v>-4.8668753936341971E-2</v>
      </c>
      <c r="AK31" s="69">
        <f t="shared" ca="1" si="29"/>
        <v>-5.2131068077874244E-2</v>
      </c>
      <c r="AL31" s="69">
        <f t="shared" ca="1" si="29"/>
        <v>-5.3106020610157928E-2</v>
      </c>
      <c r="AM31" s="69">
        <f t="shared" ca="1" si="29"/>
        <v>-5.994794869338612E-2</v>
      </c>
      <c r="AN31" s="69">
        <f ca="1">AN30/AN16</f>
        <v>-7.2162720843925235E-2</v>
      </c>
      <c r="AO31" s="69">
        <f t="shared" ca="1" si="29"/>
        <v>-8.3444964730302218E-2</v>
      </c>
      <c r="AP31" s="69">
        <f t="shared" ca="1" si="29"/>
        <v>-9.5493091462358418E-2</v>
      </c>
      <c r="AQ31" s="69">
        <f t="shared" ca="1" si="29"/>
        <v>-0.10843874318857837</v>
      </c>
      <c r="AR31" s="69">
        <f t="shared" ca="1" si="29"/>
        <v>-0.12466677454985302</v>
      </c>
      <c r="AS31" s="69">
        <f t="shared" ca="1" si="29"/>
        <v>-0.14545063847796688</v>
      </c>
      <c r="AT31" s="69">
        <f t="shared" ca="1" si="29"/>
        <v>-0.16894139042488515</v>
      </c>
      <c r="AU31" s="69">
        <f t="shared" ca="1" si="29"/>
        <v>-0.17747592802169956</v>
      </c>
      <c r="AV31" s="69">
        <f t="shared" ca="1" si="29"/>
        <v>-0.17747592802169956</v>
      </c>
      <c r="AW31" s="69">
        <f t="shared" ca="1" si="29"/>
        <v>-0.17747592802169956</v>
      </c>
      <c r="AX31" s="69">
        <f t="shared" ca="1" si="29"/>
        <v>-0.17747592802169956</v>
      </c>
      <c r="AY31" s="69">
        <f t="shared" ca="1" si="29"/>
        <v>-0.17747592802169956</v>
      </c>
      <c r="AZ31" s="69">
        <f t="shared" ca="1" si="29"/>
        <v>-0.17747592802169956</v>
      </c>
      <c r="BA31" s="69">
        <f t="shared" ca="1" si="29"/>
        <v>-0.17747592802169956</v>
      </c>
      <c r="BB31" s="69">
        <f t="shared" ca="1" si="29"/>
        <v>-0.17747592802169956</v>
      </c>
      <c r="BC31" s="69">
        <f t="shared" ca="1" si="29"/>
        <v>-0.17747592802169954</v>
      </c>
      <c r="BD31" s="69">
        <f t="shared" ca="1" si="29"/>
        <v>-0.17747592802169959</v>
      </c>
      <c r="BE31" s="69">
        <f t="shared" ca="1" si="29"/>
        <v>-0.17747592802169956</v>
      </c>
      <c r="BF31" s="69">
        <f t="shared" ca="1" si="29"/>
        <v>-0.17747592802169956</v>
      </c>
      <c r="BG31" s="69">
        <f t="shared" ca="1" si="29"/>
        <v>-0.17747592802169956</v>
      </c>
      <c r="BH31" s="69">
        <f t="shared" ca="1" si="29"/>
        <v>-0.17747592802169956</v>
      </c>
      <c r="BI31" s="69">
        <f t="shared" ca="1" si="29"/>
        <v>-0.17747592802169956</v>
      </c>
      <c r="BJ31" s="69" t="e">
        <f t="shared" ca="1" si="29"/>
        <v>#DIV/0!</v>
      </c>
      <c r="BK31" s="69" t="e">
        <f t="shared" ca="1" si="29"/>
        <v>#DIV/0!</v>
      </c>
      <c r="BL31" s="69" t="e">
        <f t="shared" ca="1" si="29"/>
        <v>#DIV/0!</v>
      </c>
      <c r="BM31" s="69" t="e">
        <f t="shared" ca="1" si="29"/>
        <v>#DIV/0!</v>
      </c>
      <c r="BN31" s="69" t="e">
        <f t="shared" ca="1" si="29"/>
        <v>#DIV/0!</v>
      </c>
      <c r="BO31" s="69" t="e">
        <f t="shared" ca="1" si="29"/>
        <v>#DIV/0!</v>
      </c>
      <c r="BP31" s="69" t="e">
        <f t="shared" ca="1" si="29"/>
        <v>#DIV/0!</v>
      </c>
      <c r="BQ31" s="69" t="e">
        <f t="shared" ca="1" si="29"/>
        <v>#DIV/0!</v>
      </c>
      <c r="BR31" s="69" t="e">
        <f t="shared" ca="1" si="29"/>
        <v>#DIV/0!</v>
      </c>
      <c r="BS31" s="69" t="e">
        <f t="shared" ca="1" si="29"/>
        <v>#DIV/0!</v>
      </c>
      <c r="BT31" s="69" t="e">
        <f t="shared" ca="1" si="29"/>
        <v>#DIV/0!</v>
      </c>
      <c r="BU31" s="69" t="e">
        <f t="shared" ca="1" si="29"/>
        <v>#DIV/0!</v>
      </c>
      <c r="BV31" s="69" t="e">
        <f t="shared" ca="1" si="29"/>
        <v>#DIV/0!</v>
      </c>
      <c r="BW31" s="69" t="e">
        <f t="shared" ca="1" si="29"/>
        <v>#DIV/0!</v>
      </c>
    </row>
    <row r="32" spans="1:75" x14ac:dyDescent="0.3">
      <c r="A32" s="47" t="s">
        <v>185</v>
      </c>
      <c r="B32" s="47"/>
      <c r="C32" s="53"/>
      <c r="D32" s="54">
        <v>-148</v>
      </c>
      <c r="E32" s="49">
        <v>-980</v>
      </c>
      <c r="F32" s="49">
        <v>1128</v>
      </c>
      <c r="G32" s="51">
        <f t="shared" si="23"/>
        <v>0</v>
      </c>
      <c r="H32" s="49">
        <v>0</v>
      </c>
      <c r="I32" s="49">
        <v>-67</v>
      </c>
      <c r="J32" s="49">
        <v>-199</v>
      </c>
      <c r="K32" s="49">
        <v>266</v>
      </c>
      <c r="L32" s="51">
        <f t="shared" ref="L32:L49" si="30">SUM(H32:K32)</f>
        <v>0</v>
      </c>
      <c r="M32" s="49">
        <v>0</v>
      </c>
      <c r="N32" s="49" t="s">
        <v>235</v>
      </c>
      <c r="O32" s="49">
        <v>-254</v>
      </c>
      <c r="P32" s="49">
        <v>-149</v>
      </c>
      <c r="Q32" s="51">
        <f t="shared" si="24"/>
        <v>-403</v>
      </c>
      <c r="R32" s="49">
        <v>-6900</v>
      </c>
      <c r="S32" s="49">
        <v>-937</v>
      </c>
      <c r="T32" s="49">
        <v>-914</v>
      </c>
      <c r="U32" s="49">
        <v>-1511</v>
      </c>
      <c r="V32" s="51">
        <f t="shared" si="25"/>
        <v>-10262</v>
      </c>
      <c r="W32" s="49">
        <v>-6955</v>
      </c>
      <c r="X32" s="49">
        <v>-7168</v>
      </c>
      <c r="Y32" s="49">
        <v>-298</v>
      </c>
      <c r="Z32" s="49">
        <v>-438</v>
      </c>
      <c r="AA32" s="51">
        <f>SUM(W32:Z32)</f>
        <v>-14859</v>
      </c>
      <c r="AB32" s="49">
        <v>0</v>
      </c>
      <c r="AC32" s="49">
        <v>-1108</v>
      </c>
      <c r="AD32" s="49">
        <v>-1279</v>
      </c>
      <c r="AE32" s="49">
        <v>-21975</v>
      </c>
      <c r="AF32" s="51">
        <f t="shared" ref="AF32:AF41" si="31">SUM(AB32:AE32)</f>
        <v>-24362</v>
      </c>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row>
    <row r="33" spans="1:75" x14ac:dyDescent="0.3">
      <c r="A33" s="47" t="s">
        <v>186</v>
      </c>
      <c r="B33" s="47"/>
      <c r="C33" s="53"/>
      <c r="D33" s="54">
        <v>-9176</v>
      </c>
      <c r="E33" s="49">
        <v>-8635</v>
      </c>
      <c r="F33" s="49">
        <v>17811</v>
      </c>
      <c r="G33" s="51">
        <f t="shared" si="23"/>
        <v>0</v>
      </c>
      <c r="H33" s="49">
        <v>0</v>
      </c>
      <c r="I33" s="49">
        <v>-10863</v>
      </c>
      <c r="J33" s="49">
        <v>-15999</v>
      </c>
      <c r="K33" s="49">
        <v>26862</v>
      </c>
      <c r="L33" s="51">
        <f t="shared" si="30"/>
        <v>0</v>
      </c>
      <c r="M33" s="49">
        <v>0</v>
      </c>
      <c r="N33" s="49">
        <v>-4626</v>
      </c>
      <c r="O33" s="49">
        <v>-22406</v>
      </c>
      <c r="P33" s="49">
        <v>-10821</v>
      </c>
      <c r="Q33" s="51">
        <f t="shared" si="24"/>
        <v>-37853</v>
      </c>
      <c r="R33" s="49">
        <v>-23634</v>
      </c>
      <c r="S33" s="49">
        <v>-28057</v>
      </c>
      <c r="T33" s="49">
        <v>-27050</v>
      </c>
      <c r="U33" s="49">
        <v>-36104</v>
      </c>
      <c r="V33" s="51">
        <f t="shared" si="25"/>
        <v>-114845</v>
      </c>
      <c r="W33" s="49">
        <v>-18842</v>
      </c>
      <c r="X33" s="49">
        <v>-36471</v>
      </c>
      <c r="Y33" s="49">
        <v>-25677</v>
      </c>
      <c r="Z33" s="49">
        <v>-39533</v>
      </c>
      <c r="AA33" s="51">
        <f t="shared" si="26"/>
        <v>-120523</v>
      </c>
      <c r="AB33" s="49">
        <v>-29798</v>
      </c>
      <c r="AC33" s="49">
        <v>-43125</v>
      </c>
      <c r="AD33" s="49">
        <v>-51311</v>
      </c>
      <c r="AE33" s="49">
        <v>-110463</v>
      </c>
      <c r="AF33" s="51">
        <f t="shared" si="31"/>
        <v>-234697</v>
      </c>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row>
    <row r="34" spans="1:75" x14ac:dyDescent="0.3">
      <c r="A34" s="47" t="s">
        <v>184</v>
      </c>
      <c r="B34" s="47"/>
      <c r="C34" s="53"/>
      <c r="D34" s="54">
        <v>-5823</v>
      </c>
      <c r="E34" s="49">
        <v>-5696</v>
      </c>
      <c r="F34" s="49">
        <v>-7786</v>
      </c>
      <c r="G34" s="51">
        <f t="shared" si="23"/>
        <v>-19305</v>
      </c>
      <c r="H34" s="49">
        <v>-2950</v>
      </c>
      <c r="I34" s="49">
        <v>-11175</v>
      </c>
      <c r="J34" s="49">
        <v>-188</v>
      </c>
      <c r="K34" s="49">
        <v>-10834</v>
      </c>
      <c r="L34" s="51">
        <f t="shared" si="30"/>
        <v>-25147</v>
      </c>
      <c r="M34" s="49">
        <v>-9495</v>
      </c>
      <c r="N34" s="49">
        <v>-9320</v>
      </c>
      <c r="O34" s="49">
        <v>-9949</v>
      </c>
      <c r="P34" s="49">
        <v>-14723</v>
      </c>
      <c r="Q34" s="51">
        <f t="shared" si="24"/>
        <v>-43487</v>
      </c>
      <c r="R34" s="49">
        <v>-3364</v>
      </c>
      <c r="S34" s="49">
        <v>-7360</v>
      </c>
      <c r="T34" s="49">
        <v>-6671</v>
      </c>
      <c r="U34" s="49">
        <v>-7757</v>
      </c>
      <c r="V34" s="51">
        <f t="shared" si="25"/>
        <v>-25152</v>
      </c>
      <c r="W34" s="49">
        <v>-22589</v>
      </c>
      <c r="X34" s="49">
        <v>-12671</v>
      </c>
      <c r="Y34" s="49">
        <v>-11493</v>
      </c>
      <c r="Z34" s="49">
        <v>27</v>
      </c>
      <c r="AA34" s="51">
        <f t="shared" si="26"/>
        <v>-46726</v>
      </c>
      <c r="AB34" s="49">
        <v>-20677</v>
      </c>
      <c r="AC34" s="49">
        <v>-14936</v>
      </c>
      <c r="AD34" s="49">
        <v>-23593</v>
      </c>
      <c r="AE34" s="49">
        <v>-9779</v>
      </c>
      <c r="AF34" s="51">
        <f t="shared" si="31"/>
        <v>-68985</v>
      </c>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row>
    <row r="35" spans="1:75" x14ac:dyDescent="0.3">
      <c r="A35" s="47" t="s">
        <v>187</v>
      </c>
      <c r="B35" s="47"/>
      <c r="C35" s="53"/>
      <c r="D35" s="54">
        <v>-9095</v>
      </c>
      <c r="E35" s="49">
        <v>-4761</v>
      </c>
      <c r="F35" s="49">
        <v>-19895</v>
      </c>
      <c r="G35" s="51">
        <f t="shared" si="23"/>
        <v>-33751</v>
      </c>
      <c r="H35" s="49">
        <v>-6791</v>
      </c>
      <c r="I35" s="49">
        <v>-6871</v>
      </c>
      <c r="J35" s="49">
        <v>-12711</v>
      </c>
      <c r="K35" s="49">
        <v>-8146</v>
      </c>
      <c r="L35" s="51">
        <f t="shared" si="30"/>
        <v>-34519</v>
      </c>
      <c r="M35" s="49">
        <v>-16461</v>
      </c>
      <c r="N35" s="49">
        <v>-11797</v>
      </c>
      <c r="O35" s="49">
        <v>-5632</v>
      </c>
      <c r="P35" s="49">
        <v>-12352</v>
      </c>
      <c r="Q35" s="51">
        <f t="shared" si="24"/>
        <v>-46242</v>
      </c>
      <c r="R35" s="49">
        <v>-12131</v>
      </c>
      <c r="S35" s="49">
        <v>-11779</v>
      </c>
      <c r="T35" s="49">
        <v>-6965</v>
      </c>
      <c r="U35" s="49">
        <v>-16838</v>
      </c>
      <c r="V35" s="51">
        <f t="shared" si="25"/>
        <v>-47713</v>
      </c>
      <c r="W35" s="49">
        <v>-15685</v>
      </c>
      <c r="X35" s="49">
        <v>-2021</v>
      </c>
      <c r="Y35" s="49">
        <v>-20206</v>
      </c>
      <c r="Z35" s="49">
        <v>-23252</v>
      </c>
      <c r="AA35" s="51">
        <f t="shared" si="26"/>
        <v>-61164</v>
      </c>
      <c r="AB35" s="49">
        <v>-7083</v>
      </c>
      <c r="AC35" s="49">
        <v>-17802</v>
      </c>
      <c r="AD35" s="49">
        <v>-30062</v>
      </c>
      <c r="AE35" s="49">
        <v>-18068</v>
      </c>
      <c r="AF35" s="51">
        <f t="shared" si="31"/>
        <v>-73015</v>
      </c>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row>
    <row r="36" spans="1:75" x14ac:dyDescent="0.3">
      <c r="A36" s="47" t="s">
        <v>188</v>
      </c>
      <c r="B36" s="47"/>
      <c r="C36" s="53"/>
      <c r="D36" s="54">
        <v>-1496</v>
      </c>
      <c r="E36" s="49">
        <v>-2929</v>
      </c>
      <c r="F36" s="49">
        <v>-1122</v>
      </c>
      <c r="G36" s="51">
        <f t="shared" si="23"/>
        <v>-5547</v>
      </c>
      <c r="H36" s="49">
        <v>-699</v>
      </c>
      <c r="I36" s="49">
        <v>-3151</v>
      </c>
      <c r="J36" s="49">
        <v>509</v>
      </c>
      <c r="K36" s="49">
        <v>-7789</v>
      </c>
      <c r="L36" s="51">
        <f t="shared" si="30"/>
        <v>-11130</v>
      </c>
      <c r="M36" s="49">
        <v>-2296</v>
      </c>
      <c r="N36" s="49">
        <v>-1503</v>
      </c>
      <c r="O36" s="49">
        <v>-7753</v>
      </c>
      <c r="P36" s="49">
        <v>-4826</v>
      </c>
      <c r="Q36" s="51">
        <f t="shared" si="24"/>
        <v>-16378</v>
      </c>
      <c r="R36" s="49">
        <v>-5759</v>
      </c>
      <c r="S36" s="49">
        <v>2578</v>
      </c>
      <c r="T36" s="49">
        <v>-270</v>
      </c>
      <c r="U36" s="49">
        <v>-3244</v>
      </c>
      <c r="V36" s="51">
        <f t="shared" si="25"/>
        <v>-6695</v>
      </c>
      <c r="W36" s="49">
        <v>-3463</v>
      </c>
      <c r="X36" s="49">
        <v>-5742</v>
      </c>
      <c r="Y36" s="49">
        <v>-2310</v>
      </c>
      <c r="Z36" s="49">
        <v>-215</v>
      </c>
      <c r="AA36" s="51">
        <f t="shared" si="26"/>
        <v>-11730</v>
      </c>
      <c r="AB36" s="49">
        <v>-4738</v>
      </c>
      <c r="AC36" s="49">
        <v>-6839</v>
      </c>
      <c r="AD36" s="49">
        <v>-10089</v>
      </c>
      <c r="AE36" s="49">
        <v>-7478</v>
      </c>
      <c r="AF36" s="51">
        <f t="shared" si="31"/>
        <v>-29144</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row>
    <row r="37" spans="1:75" x14ac:dyDescent="0.3">
      <c r="A37" s="47" t="s">
        <v>189</v>
      </c>
      <c r="B37" s="47"/>
      <c r="C37" s="53"/>
      <c r="D37" s="54">
        <v>-598</v>
      </c>
      <c r="E37" s="49">
        <v>-665</v>
      </c>
      <c r="F37" s="49">
        <v>-1067</v>
      </c>
      <c r="G37" s="51">
        <f t="shared" si="23"/>
        <v>-2330</v>
      </c>
      <c r="H37" s="49">
        <v>0</v>
      </c>
      <c r="I37" s="49">
        <v>-2066</v>
      </c>
      <c r="J37" s="49">
        <v>-39507</v>
      </c>
      <c r="K37" s="49">
        <v>-84507</v>
      </c>
      <c r="L37" s="51">
        <f t="shared" si="30"/>
        <v>-126080</v>
      </c>
      <c r="M37" s="49">
        <v>-41571</v>
      </c>
      <c r="N37" s="49">
        <v>-46956</v>
      </c>
      <c r="O37" s="49">
        <v>-54578</v>
      </c>
      <c r="P37" s="49">
        <v>-50411</v>
      </c>
      <c r="Q37" s="51">
        <f t="shared" si="24"/>
        <v>-193516</v>
      </c>
      <c r="R37" s="49">
        <v>-29992</v>
      </c>
      <c r="S37" s="49">
        <v>-25112</v>
      </c>
      <c r="T37" s="49">
        <v>-28439</v>
      </c>
      <c r="U37" s="49">
        <v>-27430</v>
      </c>
      <c r="V37" s="51">
        <f t="shared" si="25"/>
        <v>-110973</v>
      </c>
      <c r="W37" s="49">
        <v>-22650</v>
      </c>
      <c r="X37" s="49">
        <v>-20741</v>
      </c>
      <c r="Y37" s="49">
        <v>-39137</v>
      </c>
      <c r="Z37" s="49">
        <v>-29999</v>
      </c>
      <c r="AA37" s="51">
        <f t="shared" si="26"/>
        <v>-112527</v>
      </c>
      <c r="AB37" s="49">
        <v>-21338</v>
      </c>
      <c r="AC37" s="49">
        <v>-20691</v>
      </c>
      <c r="AD37" s="49">
        <v>-16085</v>
      </c>
      <c r="AE37" s="49">
        <v>-79076</v>
      </c>
      <c r="AF37" s="51">
        <f t="shared" si="31"/>
        <v>-137190</v>
      </c>
      <c r="AG37" s="51">
        <f ca="1">IF(AG$11=0,0,AF37*(1+AG$6))</f>
        <v>-142513.788800279</v>
      </c>
      <c r="AH37" s="51">
        <f t="shared" ref="AH37:BW37" ca="1" si="32">IF(AH$11=0,0,AG37*(1+AH$6))</f>
        <v>-147744.72805130002</v>
      </c>
      <c r="AI37" s="51">
        <f t="shared" ca="1" si="32"/>
        <v>-152942.52776072171</v>
      </c>
      <c r="AJ37" s="51">
        <f t="shared" ca="1" si="32"/>
        <v>-158295.51623234697</v>
      </c>
      <c r="AK37" s="51">
        <f t="shared" ca="1" si="32"/>
        <v>-163433.3141916327</v>
      </c>
      <c r="AL37" s="51">
        <f t="shared" ca="1" si="32"/>
        <v>-168336.31361738173</v>
      </c>
      <c r="AM37" s="51">
        <f t="shared" ca="1" si="32"/>
        <v>-173386.40302590322</v>
      </c>
      <c r="AN37" s="51">
        <f t="shared" ca="1" si="32"/>
        <v>-178587.99511668037</v>
      </c>
      <c r="AO37" s="51">
        <f t="shared" ca="1" si="32"/>
        <v>-183945.63497018081</v>
      </c>
      <c r="AP37" s="51">
        <f t="shared" ca="1" si="32"/>
        <v>-189464.00401928628</v>
      </c>
      <c r="AQ37" s="51">
        <f t="shared" ca="1" si="32"/>
        <v>-195147.92413986492</v>
      </c>
      <c r="AR37" s="51">
        <f t="shared" ca="1" si="32"/>
        <v>-201002.36186406092</v>
      </c>
      <c r="AS37" s="51">
        <f t="shared" ca="1" si="32"/>
        <v>-207032.43271998281</v>
      </c>
      <c r="AT37" s="51">
        <f t="shared" ca="1" si="32"/>
        <v>-213243.40570158235</v>
      </c>
      <c r="AU37" s="51">
        <f t="shared" ca="1" si="32"/>
        <v>-219640.70787262986</v>
      </c>
      <c r="AV37" s="51">
        <f t="shared" ca="1" si="32"/>
        <v>-226229.92910880881</v>
      </c>
      <c r="AW37" s="51">
        <f t="shared" ca="1" si="32"/>
        <v>-233016.82698207314</v>
      </c>
      <c r="AX37" s="51">
        <f t="shared" ca="1" si="32"/>
        <v>-240007.3317915354</v>
      </c>
      <c r="AY37" s="51">
        <f t="shared" ca="1" si="32"/>
        <v>-247207.55174528153</v>
      </c>
      <c r="AZ37" s="51">
        <f t="shared" ca="1" si="32"/>
        <v>-254623.77829764003</v>
      </c>
      <c r="BA37" s="51">
        <f t="shared" ca="1" si="32"/>
        <v>-262262.49164656928</v>
      </c>
      <c r="BB37" s="51">
        <f t="shared" ca="1" si="32"/>
        <v>-270130.36639596644</v>
      </c>
      <c r="BC37" s="51">
        <f t="shared" ca="1" si="32"/>
        <v>-278234.2773878455</v>
      </c>
      <c r="BD37" s="51">
        <f t="shared" ca="1" si="32"/>
        <v>-286581.30570948095</v>
      </c>
      <c r="BE37" s="51">
        <f t="shared" ca="1" si="32"/>
        <v>-295178.74488076544</v>
      </c>
      <c r="BF37" s="51">
        <f t="shared" ca="1" si="32"/>
        <v>-304034.10722718848</v>
      </c>
      <c r="BG37" s="51">
        <f t="shared" ca="1" si="32"/>
        <v>-313155.1304440042</v>
      </c>
      <c r="BH37" s="51">
        <f t="shared" ca="1" si="32"/>
        <v>-322549.78435732442</v>
      </c>
      <c r="BI37" s="51">
        <f t="shared" ca="1" si="32"/>
        <v>-332226.27788804425</v>
      </c>
      <c r="BJ37" s="51">
        <f t="shared" ca="1" si="32"/>
        <v>0</v>
      </c>
      <c r="BK37" s="51">
        <f t="shared" ca="1" si="32"/>
        <v>0</v>
      </c>
      <c r="BL37" s="51">
        <f t="shared" ca="1" si="32"/>
        <v>0</v>
      </c>
      <c r="BM37" s="51">
        <f t="shared" ca="1" si="32"/>
        <v>0</v>
      </c>
      <c r="BN37" s="51">
        <f t="shared" ca="1" si="32"/>
        <v>0</v>
      </c>
      <c r="BO37" s="51">
        <f t="shared" ca="1" si="32"/>
        <v>0</v>
      </c>
      <c r="BP37" s="51">
        <f t="shared" ca="1" si="32"/>
        <v>0</v>
      </c>
      <c r="BQ37" s="51">
        <f t="shared" ca="1" si="32"/>
        <v>0</v>
      </c>
      <c r="BR37" s="51">
        <f t="shared" ca="1" si="32"/>
        <v>0</v>
      </c>
      <c r="BS37" s="51">
        <f t="shared" ca="1" si="32"/>
        <v>0</v>
      </c>
      <c r="BT37" s="51">
        <f t="shared" ca="1" si="32"/>
        <v>0</v>
      </c>
      <c r="BU37" s="51">
        <f t="shared" ca="1" si="32"/>
        <v>0</v>
      </c>
      <c r="BV37" s="51">
        <f t="shared" ca="1" si="32"/>
        <v>0</v>
      </c>
      <c r="BW37" s="51">
        <f t="shared" ca="1" si="32"/>
        <v>0</v>
      </c>
    </row>
    <row r="38" spans="1:75" x14ac:dyDescent="0.3">
      <c r="A38" s="42" t="s">
        <v>190</v>
      </c>
      <c r="B38" s="42"/>
      <c r="C38" s="51">
        <f>-'DRE - Economática'!AI199</f>
        <v>0</v>
      </c>
      <c r="D38" s="51">
        <f>-('DRE - Economática'!AJ199-'DRE - Economática'!AI199)</f>
        <v>0</v>
      </c>
      <c r="E38" s="51">
        <f>-('DRE - Economática'!AK199-'DRE - Economática'!AJ199)</f>
        <v>-64</v>
      </c>
      <c r="F38" s="51">
        <f>-('DRE - Economática'!AL199-'DRE - Economática'!AK199)</f>
        <v>-25</v>
      </c>
      <c r="G38" s="51">
        <f t="shared" si="23"/>
        <v>-89</v>
      </c>
      <c r="H38" s="51">
        <f>-'DRE - Economática'!AM199</f>
        <v>0</v>
      </c>
      <c r="I38" s="51">
        <f>-('DRE - Economática'!AN199-'DRE - Economática'!AM199)</f>
        <v>0</v>
      </c>
      <c r="J38" s="51">
        <f>-('DRE - Economática'!AO199-'DRE - Economática'!AN199)</f>
        <v>0</v>
      </c>
      <c r="K38" s="51">
        <f>-('DRE - Economática'!AP199-'DRE - Economática'!AO199)</f>
        <v>0</v>
      </c>
      <c r="L38" s="51">
        <f t="shared" si="30"/>
        <v>0</v>
      </c>
      <c r="M38" s="51">
        <f>-'DRE - Economática'!AQ199</f>
        <v>0</v>
      </c>
      <c r="N38" s="51">
        <f>-('DRE - Economática'!AR199-'DRE - Economática'!AQ199)</f>
        <v>0</v>
      </c>
      <c r="O38" s="51">
        <f>-('DRE - Economática'!AS199-'DRE - Economática'!AR199)</f>
        <v>0</v>
      </c>
      <c r="P38" s="51">
        <f>-('DRE - Economática'!AT199-'DRE - Economática'!AS199)</f>
        <v>0</v>
      </c>
      <c r="Q38" s="51">
        <f t="shared" si="24"/>
        <v>0</v>
      </c>
      <c r="R38" s="51">
        <f>-'DRE - Economática'!AU199</f>
        <v>0</v>
      </c>
      <c r="S38" s="51">
        <f>-('DRE - Economática'!AV199-'DRE - Economática'!AU199)</f>
        <v>0</v>
      </c>
      <c r="T38" s="51">
        <f>-('DRE - Economática'!AW199-'DRE - Economática'!AV199)</f>
        <v>0</v>
      </c>
      <c r="U38" s="51">
        <f>-('DRE - Economática'!AX199-'DRE - Economática'!AW199)</f>
        <v>0</v>
      </c>
      <c r="V38" s="51">
        <f t="shared" si="25"/>
        <v>0</v>
      </c>
      <c r="W38" s="51">
        <f>-'DRE - Economática'!AY199</f>
        <v>0</v>
      </c>
      <c r="X38" s="51">
        <f>-('DRE - Economática'!AZ199-'DRE - Economática'!AY199)</f>
        <v>0</v>
      </c>
      <c r="Y38" s="51">
        <f>-('DRE - Economática'!BA199-'DRE - Economática'!AZ199)</f>
        <v>0</v>
      </c>
      <c r="Z38" s="51">
        <f>-('DRE - Economática'!BB199-'DRE - Economática'!BA199)</f>
        <v>0</v>
      </c>
      <c r="AA38" s="51">
        <f t="shared" si="26"/>
        <v>0</v>
      </c>
      <c r="AB38" s="51">
        <f>-'DRE - Economática'!BC199</f>
        <v>0</v>
      </c>
      <c r="AC38" s="51">
        <f>-('DRE - Economática'!BD199-'DRE - Economática'!BC199)</f>
        <v>0</v>
      </c>
      <c r="AD38" s="51">
        <f>-('DRE - Economática'!BE199-'DRE - Economática'!BD199)</f>
        <v>0</v>
      </c>
      <c r="AE38" s="51">
        <f>-('DRE - Economática'!BF199-'DRE - Economática'!BE199)</f>
        <v>0</v>
      </c>
      <c r="AF38" s="51">
        <f t="shared" si="31"/>
        <v>0</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row>
    <row r="39" spans="1:75" x14ac:dyDescent="0.3">
      <c r="A39" s="42" t="s">
        <v>191</v>
      </c>
      <c r="B39" s="42"/>
      <c r="C39" s="51">
        <f>'DRE - Economática'!AI200</f>
        <v>3533</v>
      </c>
      <c r="D39" s="51">
        <f>('DRE - Economática'!AJ200-'DRE - Economática'!AI200)</f>
        <v>-6893</v>
      </c>
      <c r="E39" s="51">
        <f>('DRE - Economática'!AK200-'DRE - Economática'!AJ200)</f>
        <v>-15839</v>
      </c>
      <c r="F39" s="51">
        <f>('DRE - Economática'!AL200-'DRE - Economática'!AK200)</f>
        <v>19199</v>
      </c>
      <c r="G39" s="51">
        <f t="shared" si="23"/>
        <v>0</v>
      </c>
      <c r="H39" s="51">
        <f>'DRE - Economática'!AM200</f>
        <v>306</v>
      </c>
      <c r="I39" s="51">
        <f>('DRE - Economática'!AN200-'DRE - Economática'!AM200)</f>
        <v>-32571</v>
      </c>
      <c r="J39" s="51">
        <f>('DRE - Economática'!AO200-'DRE - Economática'!AN200)</f>
        <v>32265</v>
      </c>
      <c r="K39" s="51">
        <f>('DRE - Economática'!AP200-'DRE - Economática'!AO200)</f>
        <v>0</v>
      </c>
      <c r="L39" s="51">
        <f t="shared" si="30"/>
        <v>0</v>
      </c>
      <c r="M39" s="51">
        <f>'DRE - Economática'!AQ200</f>
        <v>115104</v>
      </c>
      <c r="N39" s="51">
        <f>('DRE - Economática'!AR200-'DRE - Economática'!AQ200)</f>
        <v>89603</v>
      </c>
      <c r="O39" s="51">
        <f>('DRE - Economática'!AS200-'DRE - Economática'!AR200)</f>
        <v>28505</v>
      </c>
      <c r="P39" s="51">
        <f>('DRE - Economática'!AT200-'DRE - Economática'!AS200)</f>
        <v>-233212</v>
      </c>
      <c r="Q39" s="51">
        <f t="shared" si="24"/>
        <v>0</v>
      </c>
      <c r="R39" s="51">
        <f>'DRE - Economática'!AU200</f>
        <v>0</v>
      </c>
      <c r="S39" s="51">
        <f>('DRE - Economática'!AV200-'DRE - Economática'!AU200)</f>
        <v>0</v>
      </c>
      <c r="T39" s="51">
        <f>('DRE - Economática'!AW200-'DRE - Economática'!AV200)</f>
        <v>0</v>
      </c>
      <c r="U39" s="51">
        <f>('DRE - Economática'!AX200-'DRE - Economática'!AW200)</f>
        <v>0</v>
      </c>
      <c r="V39" s="51">
        <f t="shared" si="25"/>
        <v>0</v>
      </c>
      <c r="W39" s="51">
        <f>'DRE - Economática'!AY200</f>
        <v>0</v>
      </c>
      <c r="X39" s="51">
        <f>('DRE - Economática'!AZ200-'DRE - Economática'!AY200)</f>
        <v>0</v>
      </c>
      <c r="Y39" s="51">
        <f>('DRE - Economática'!BA200-'DRE - Economática'!AZ200)</f>
        <v>0</v>
      </c>
      <c r="Z39" s="51">
        <f>('DRE - Economática'!BB200-'DRE - Economática'!BA200)</f>
        <v>26570</v>
      </c>
      <c r="AA39" s="51">
        <f t="shared" si="26"/>
        <v>26570</v>
      </c>
      <c r="AB39" s="51">
        <f>'DRE - Economática'!BC200</f>
        <v>0</v>
      </c>
      <c r="AC39" s="51">
        <f>('DRE - Economática'!BD200-'DRE - Economática'!BC200)</f>
        <v>436607</v>
      </c>
      <c r="AD39" s="51">
        <f>('DRE - Economática'!BE200-'DRE - Economática'!BD200)</f>
        <v>-436607</v>
      </c>
      <c r="AE39" s="51">
        <f>('DRE - Economática'!BF200-'DRE - Economática'!BE200)</f>
        <v>64351</v>
      </c>
      <c r="AF39" s="51">
        <f t="shared" si="31"/>
        <v>64351</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row>
    <row r="40" spans="1:75" x14ac:dyDescent="0.3">
      <c r="A40" s="42" t="s">
        <v>192</v>
      </c>
      <c r="B40" s="42"/>
      <c r="C40" s="51">
        <f>-'DRE - Economática'!AI201</f>
        <v>0</v>
      </c>
      <c r="D40" s="51">
        <f>-('DRE - Economática'!AJ201-'DRE - Economática'!AI201)</f>
        <v>0</v>
      </c>
      <c r="E40" s="51">
        <f>-('DRE - Economática'!AK201-'DRE - Economática'!AJ201)</f>
        <v>0</v>
      </c>
      <c r="F40" s="51">
        <f>-('DRE - Economática'!AL201-'DRE - Economática'!AK201)</f>
        <v>-31751</v>
      </c>
      <c r="G40" s="51">
        <f t="shared" si="23"/>
        <v>-31751</v>
      </c>
      <c r="H40" s="51">
        <f>-'DRE - Economática'!AM201</f>
        <v>0</v>
      </c>
      <c r="I40" s="51">
        <f>-('DRE - Economática'!AN201-'DRE - Economática'!AM201)</f>
        <v>0</v>
      </c>
      <c r="J40" s="51">
        <f>-('DRE - Economática'!AO201-'DRE - Economática'!AN201)</f>
        <v>-97811</v>
      </c>
      <c r="K40" s="51">
        <f>-('DRE - Economática'!AP201-'DRE - Economática'!AO201)</f>
        <v>517816</v>
      </c>
      <c r="L40" s="51">
        <f t="shared" si="30"/>
        <v>420005</v>
      </c>
      <c r="M40" s="51">
        <f>-'DRE - Economática'!AQ201</f>
        <v>0</v>
      </c>
      <c r="N40" s="51">
        <f>-('DRE - Economática'!AR201-'DRE - Economática'!AQ201)</f>
        <v>0</v>
      </c>
      <c r="O40" s="51">
        <f>-('DRE - Economática'!AS201-'DRE - Economática'!AR201)</f>
        <v>0</v>
      </c>
      <c r="P40" s="51">
        <f>-('DRE - Economática'!AT201-'DRE - Economática'!AS201)</f>
        <v>663437</v>
      </c>
      <c r="Q40" s="51">
        <f t="shared" si="24"/>
        <v>663437</v>
      </c>
      <c r="R40" s="51">
        <f>-'DRE - Economática'!AU201</f>
        <v>-20250</v>
      </c>
      <c r="S40" s="51">
        <f>-('DRE - Economática'!AV201-'DRE - Economática'!AU201)</f>
        <v>-62187</v>
      </c>
      <c r="T40" s="51">
        <f>-('DRE - Economática'!AW201-'DRE - Economática'!AV201)</f>
        <v>15776</v>
      </c>
      <c r="U40" s="51">
        <f>-('DRE - Economática'!AX201-'DRE - Economática'!AW201)</f>
        <v>-8901</v>
      </c>
      <c r="V40" s="51">
        <f t="shared" si="25"/>
        <v>-75562</v>
      </c>
      <c r="W40" s="51">
        <f>-'DRE - Economática'!AY201</f>
        <v>-27003</v>
      </c>
      <c r="X40" s="51">
        <f>-('DRE - Economática'!AZ201-'DRE - Economática'!AY201)</f>
        <v>-109192</v>
      </c>
      <c r="Y40" s="51">
        <f>-('DRE - Economática'!BA201-'DRE - Economática'!AZ201)</f>
        <v>3238</v>
      </c>
      <c r="Z40" s="51">
        <f>-('DRE - Economática'!BB201-'DRE - Economática'!BA201)</f>
        <v>132957</v>
      </c>
      <c r="AA40" s="51">
        <f>SUM(W40:Z40)</f>
        <v>0</v>
      </c>
      <c r="AB40" s="51">
        <f>-'DRE - Economática'!BC201</f>
        <v>-132950</v>
      </c>
      <c r="AC40" s="51">
        <f>-('DRE - Economática'!BD201-'DRE - Economática'!BC201)</f>
        <v>-453885</v>
      </c>
      <c r="AD40" s="51">
        <f>-('DRE - Economática'!BE201-'DRE - Economática'!BD201)</f>
        <v>383458</v>
      </c>
      <c r="AE40" s="51">
        <f>-('DRE - Economática'!BF201-'DRE - Economática'!BE201)</f>
        <v>203377</v>
      </c>
      <c r="AF40" s="51">
        <f t="shared" si="31"/>
        <v>0</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row>
    <row r="41" spans="1:75" x14ac:dyDescent="0.3">
      <c r="A41" s="42" t="s">
        <v>193</v>
      </c>
      <c r="B41" s="42"/>
      <c r="C41" s="51">
        <f>'DRE - Economática'!AI202</f>
        <v>0</v>
      </c>
      <c r="D41" s="51">
        <f>('DRE - Economática'!AJ202-'DRE - Economática'!AI202)</f>
        <v>0</v>
      </c>
      <c r="E41" s="51">
        <f>('DRE - Economática'!AK202-'DRE - Economática'!AJ202)</f>
        <v>0</v>
      </c>
      <c r="F41" s="51">
        <f>('DRE - Economática'!AL202-'DRE - Economática'!AK202)</f>
        <v>0</v>
      </c>
      <c r="G41" s="51">
        <f t="shared" si="23"/>
        <v>0</v>
      </c>
      <c r="H41" s="51">
        <f>'DRE - Economática'!AM202</f>
        <v>0</v>
      </c>
      <c r="I41" s="51">
        <f>('DRE - Economática'!AN202-'DRE - Economática'!AM202)</f>
        <v>0</v>
      </c>
      <c r="J41" s="51">
        <f>('DRE - Economática'!AO202-'DRE - Economática'!AN202)</f>
        <v>0</v>
      </c>
      <c r="K41" s="51">
        <f>('DRE - Economática'!AP202-'DRE - Economática'!AO202)</f>
        <v>0</v>
      </c>
      <c r="L41" s="51">
        <f t="shared" si="30"/>
        <v>0</v>
      </c>
      <c r="M41" s="51">
        <f>'DRE - Economática'!AQ202</f>
        <v>0</v>
      </c>
      <c r="N41" s="51">
        <f>('DRE - Economática'!AR202-'DRE - Economática'!AQ202)</f>
        <v>0</v>
      </c>
      <c r="O41" s="51">
        <f>('DRE - Economática'!AS202-'DRE - Economática'!AR202)</f>
        <v>0</v>
      </c>
      <c r="P41" s="51">
        <f>('DRE - Economática'!AT202-'DRE - Economática'!AS202)</f>
        <v>0</v>
      </c>
      <c r="Q41" s="51">
        <f t="shared" si="24"/>
        <v>0</v>
      </c>
      <c r="R41" s="51">
        <f>'DRE - Economática'!AU202</f>
        <v>0</v>
      </c>
      <c r="S41" s="51">
        <f>('DRE - Economática'!AV202-'DRE - Economática'!AU202)</f>
        <v>0</v>
      </c>
      <c r="T41" s="51">
        <f>('DRE - Economática'!AW202-'DRE - Economática'!AV202)</f>
        <v>0</v>
      </c>
      <c r="U41" s="51">
        <f>('DRE - Economática'!AX202-'DRE - Economática'!AW202)</f>
        <v>0</v>
      </c>
      <c r="V41" s="51">
        <f t="shared" si="25"/>
        <v>0</v>
      </c>
      <c r="W41" s="51">
        <f>'DRE - Economática'!AY202</f>
        <v>0</v>
      </c>
      <c r="X41" s="51">
        <f>('DRE - Economática'!AZ202-'DRE - Economática'!AY202)</f>
        <v>0</v>
      </c>
      <c r="Y41" s="51">
        <f>('DRE - Economática'!BA202-'DRE - Economática'!AZ202)</f>
        <v>0</v>
      </c>
      <c r="Z41" s="51">
        <f>('DRE - Economática'!BB202-'DRE - Economática'!BA202)</f>
        <v>0</v>
      </c>
      <c r="AA41" s="51">
        <f t="shared" si="26"/>
        <v>0</v>
      </c>
      <c r="AB41" s="51">
        <f>'DRE - Economática'!BC202</f>
        <v>0</v>
      </c>
      <c r="AC41" s="51">
        <f>('DRE - Economática'!BD202-'DRE - Economática'!BC202)</f>
        <v>0</v>
      </c>
      <c r="AD41" s="51">
        <f>('DRE - Economática'!BE202-'DRE - Economática'!BD202)</f>
        <v>0</v>
      </c>
      <c r="AE41" s="51">
        <f>('DRE - Economática'!BF202-'DRE - Economática'!BE202)</f>
        <v>0</v>
      </c>
      <c r="AF41" s="51">
        <f t="shared" si="31"/>
        <v>0</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row>
    <row r="42" spans="1:75" x14ac:dyDescent="0.3">
      <c r="A42" s="42" t="s">
        <v>1179</v>
      </c>
      <c r="C42" s="53"/>
      <c r="D42" s="53"/>
      <c r="E42" s="53"/>
      <c r="F42" s="53"/>
      <c r="G42" s="53"/>
      <c r="H42" s="51">
        <f>'Fluxo de Caixa Planilhado'!H11</f>
        <v>-52958</v>
      </c>
      <c r="I42" s="51">
        <f>'Fluxo de Caixa Planilhado'!I11-H42</f>
        <v>-41994</v>
      </c>
      <c r="J42" s="51">
        <f>'Fluxo de Caixa Planilhado'!J11-I42-H42</f>
        <v>-28366</v>
      </c>
      <c r="K42" s="51">
        <f>'Fluxo de Caixa Planilhado'!K11-J42-I42-H42</f>
        <v>-131890</v>
      </c>
      <c r="L42" s="51">
        <f>'Fluxo de Caixa Planilhado'!L11</f>
        <v>-255208</v>
      </c>
      <c r="M42" s="51">
        <f>'Fluxo de Caixa Planilhado'!M11</f>
        <v>-67841</v>
      </c>
      <c r="N42" s="51">
        <f>'Fluxo de Caixa Planilhado'!N11-M42</f>
        <v>-41064</v>
      </c>
      <c r="O42" s="51">
        <f>'Fluxo de Caixa Planilhado'!O11-N42-M42</f>
        <v>-59900</v>
      </c>
      <c r="P42" s="51">
        <f>'Fluxo de Caixa Planilhado'!P11-O42-N42-M42</f>
        <v>-75369</v>
      </c>
      <c r="Q42" s="51">
        <f>'Fluxo de Caixa Planilhado'!Q11</f>
        <v>-244174</v>
      </c>
      <c r="R42" s="51">
        <f>'Fluxo de Caixa Planilhado'!R11</f>
        <v>-67841</v>
      </c>
      <c r="S42" s="51">
        <f>'Fluxo de Caixa Planilhado'!S11-R42</f>
        <v>-69884</v>
      </c>
      <c r="T42" s="51">
        <f>'Fluxo de Caixa Planilhado'!T11-S42-R42</f>
        <v>-35214</v>
      </c>
      <c r="U42" s="51">
        <f>'Fluxo de Caixa Planilhado'!U11-T42-S42-R42</f>
        <v>-10983</v>
      </c>
      <c r="V42" s="51">
        <f>'Fluxo de Caixa Planilhado'!V11</f>
        <v>-183922</v>
      </c>
      <c r="W42" s="51">
        <f>'Fluxo de Caixa Planilhado'!W11</f>
        <v>-25609</v>
      </c>
      <c r="X42" s="51">
        <f>'Fluxo de Caixa Planilhado'!X11-W42</f>
        <v>-33478</v>
      </c>
      <c r="Y42" s="51">
        <f>'Fluxo de Caixa Planilhado'!Y11-X42-W42</f>
        <v>-44344</v>
      </c>
      <c r="Z42" s="51">
        <f>'Fluxo de Caixa Planilhado'!Z11-Y42-X42-W42</f>
        <v>-249328</v>
      </c>
      <c r="AA42" s="51">
        <f>'Fluxo de Caixa Planilhado'!AA11</f>
        <v>-352759</v>
      </c>
      <c r="AB42" s="51">
        <f>'Fluxo de Caixa Planilhado'!AB11</f>
        <v>-31283</v>
      </c>
      <c r="AC42" s="51">
        <f>'Fluxo de Caixa Planilhado'!AC11-AB42</f>
        <v>-29552</v>
      </c>
      <c r="AD42" s="51">
        <f>'Fluxo de Caixa Planilhado'!AD11-AC42-AB42</f>
        <v>-76545</v>
      </c>
      <c r="AE42" s="51">
        <f>'Fluxo de Caixa Planilhado'!AE11-AD42-AC42-AB42</f>
        <v>-84024</v>
      </c>
      <c r="AF42" s="51">
        <f>'Fluxo de Caixa Planilhado'!AF11</f>
        <v>-221404</v>
      </c>
      <c r="AG42" s="51">
        <f ca="1">AG43*AG16</f>
        <v>-606710.34994196042</v>
      </c>
      <c r="AH42" s="51">
        <f t="shared" ref="AH42:BW42" ca="1" si="33">AH43*AH16</f>
        <v>-752293.89246921707</v>
      </c>
      <c r="AI42" s="51">
        <f t="shared" ca="1" si="33"/>
        <v>-767046.82698240108</v>
      </c>
      <c r="AJ42" s="51">
        <f t="shared" ca="1" si="33"/>
        <v>-789308.91398239764</v>
      </c>
      <c r="AK42" s="51">
        <f t="shared" ca="1" si="33"/>
        <v>-760803.64708678343</v>
      </c>
      <c r="AL42" s="51">
        <f t="shared" ca="1" si="33"/>
        <v>-769241.44291782076</v>
      </c>
      <c r="AM42" s="51">
        <f t="shared" ca="1" si="33"/>
        <v>-701890.44657131168</v>
      </c>
      <c r="AN42" s="51">
        <f t="shared" ca="1" si="33"/>
        <v>-600576.0141382789</v>
      </c>
      <c r="AO42" s="51">
        <f t="shared" ca="1" si="33"/>
        <v>-534955.8882996582</v>
      </c>
      <c r="AP42" s="51">
        <f t="shared" ca="1" si="33"/>
        <v>-481485.68429685134</v>
      </c>
      <c r="AQ42" s="51">
        <f t="shared" ca="1" si="33"/>
        <v>-436725.02825553634</v>
      </c>
      <c r="AR42" s="51">
        <f t="shared" ca="1" si="33"/>
        <v>-391272.25962689403</v>
      </c>
      <c r="AS42" s="51">
        <f t="shared" ca="1" si="33"/>
        <v>-345423.09763379855</v>
      </c>
      <c r="AT42" s="51">
        <f t="shared" ca="1" si="33"/>
        <v>-306314.93128238519</v>
      </c>
      <c r="AU42" s="51">
        <f t="shared" ca="1" si="33"/>
        <v>-278197.7083890604</v>
      </c>
      <c r="AV42" s="51">
        <f t="shared" ca="1" si="33"/>
        <v>-253951.93070157155</v>
      </c>
      <c r="AW42" s="51">
        <f t="shared" ca="1" si="33"/>
        <v>-206132.2870287525</v>
      </c>
      <c r="AX42" s="51">
        <f t="shared" ca="1" si="33"/>
        <v>-186030.72717338259</v>
      </c>
      <c r="AY42" s="51">
        <f t="shared" ca="1" si="33"/>
        <v>-168394.08861156728</v>
      </c>
      <c r="AZ42" s="51">
        <f t="shared" ca="1" si="33"/>
        <v>-151711.59654236704</v>
      </c>
      <c r="BA42" s="51">
        <f t="shared" ca="1" si="33"/>
        <v>-138804.17273032662</v>
      </c>
      <c r="BB42" s="51">
        <f t="shared" ca="1" si="33"/>
        <v>-124219.1894560993</v>
      </c>
      <c r="BC42" s="51">
        <f t="shared" ca="1" si="33"/>
        <v>-115945.46520188339</v>
      </c>
      <c r="BD42" s="51">
        <f t="shared" ca="1" si="33"/>
        <v>-109485.8623228896</v>
      </c>
      <c r="BE42" s="51">
        <f t="shared" ca="1" si="33"/>
        <v>-104038.95113789804</v>
      </c>
      <c r="BF42" s="51">
        <f t="shared" ca="1" si="33"/>
        <v>-93905.857575208007</v>
      </c>
      <c r="BG42" s="51">
        <f t="shared" ca="1" si="33"/>
        <v>-88191.041351110107</v>
      </c>
      <c r="BH42" s="51">
        <f t="shared" ca="1" si="33"/>
        <v>-84583.486038397576</v>
      </c>
      <c r="BI42" s="51">
        <f t="shared" ca="1" si="33"/>
        <v>-54656.65659765686</v>
      </c>
      <c r="BJ42" s="51">
        <f t="shared" ca="1" si="33"/>
        <v>0</v>
      </c>
      <c r="BK42" s="51">
        <f t="shared" ca="1" si="33"/>
        <v>0</v>
      </c>
      <c r="BL42" s="51">
        <f t="shared" ca="1" si="33"/>
        <v>0</v>
      </c>
      <c r="BM42" s="51">
        <f t="shared" ca="1" si="33"/>
        <v>0</v>
      </c>
      <c r="BN42" s="51">
        <f t="shared" ca="1" si="33"/>
        <v>0</v>
      </c>
      <c r="BO42" s="51">
        <f t="shared" ca="1" si="33"/>
        <v>0</v>
      </c>
      <c r="BP42" s="51">
        <f t="shared" ca="1" si="33"/>
        <v>0</v>
      </c>
      <c r="BQ42" s="51">
        <f t="shared" ca="1" si="33"/>
        <v>0</v>
      </c>
      <c r="BR42" s="51">
        <f t="shared" ca="1" si="33"/>
        <v>0</v>
      </c>
      <c r="BS42" s="51">
        <f t="shared" ca="1" si="33"/>
        <v>0</v>
      </c>
      <c r="BT42" s="51">
        <f t="shared" ca="1" si="33"/>
        <v>0</v>
      </c>
      <c r="BU42" s="51">
        <f t="shared" ca="1" si="33"/>
        <v>0</v>
      </c>
      <c r="BV42" s="51">
        <f t="shared" ca="1" si="33"/>
        <v>0</v>
      </c>
      <c r="BW42" s="51">
        <f t="shared" ca="1" si="33"/>
        <v>0</v>
      </c>
    </row>
    <row r="43" spans="1:75" x14ac:dyDescent="0.3">
      <c r="A43" s="47" t="s">
        <v>380</v>
      </c>
      <c r="C43" s="53"/>
      <c r="D43" s="53"/>
      <c r="E43" s="53"/>
      <c r="F43" s="53"/>
      <c r="G43" s="53"/>
      <c r="H43" s="69">
        <f t="shared" ref="H43:AF43" si="34">H42/H16</f>
        <v>-0.37981510567951171</v>
      </c>
      <c r="I43" s="69">
        <f t="shared" si="34"/>
        <v>-7.6648870636550306E-2</v>
      </c>
      <c r="J43" s="69">
        <f t="shared" si="34"/>
        <v>-7.1084714756481093E-2</v>
      </c>
      <c r="K43" s="69">
        <f t="shared" si="34"/>
        <v>-0.23636412512656924</v>
      </c>
      <c r="L43" s="69">
        <f t="shared" si="34"/>
        <v>-0.15520334528134588</v>
      </c>
      <c r="M43" s="69">
        <f t="shared" si="34"/>
        <v>-0.303998888699689</v>
      </c>
      <c r="N43" s="69">
        <f t="shared" si="34"/>
        <v>-0.13149190023471546</v>
      </c>
      <c r="O43" s="69">
        <f t="shared" si="34"/>
        <v>-0.12257133795107378</v>
      </c>
      <c r="P43" s="69">
        <f t="shared" si="34"/>
        <v>-8.5643184646065212E-2</v>
      </c>
      <c r="Q43" s="69">
        <f t="shared" si="34"/>
        <v>-0.12823018771810513</v>
      </c>
      <c r="R43" s="69">
        <f t="shared" si="34"/>
        <v>-0.10352125786240299</v>
      </c>
      <c r="S43" s="69">
        <f t="shared" si="34"/>
        <v>-6.8323691849238935E-2</v>
      </c>
      <c r="T43" s="69">
        <f t="shared" si="34"/>
        <v>-3.7480960961855929E-2</v>
      </c>
      <c r="U43" s="69">
        <f t="shared" si="34"/>
        <v>-6.176071168493771E-3</v>
      </c>
      <c r="V43" s="69">
        <f t="shared" si="34"/>
        <v>-4.1838460983761837E-2</v>
      </c>
      <c r="W43" s="69">
        <f t="shared" si="34"/>
        <v>-1.6737963195958157E-2</v>
      </c>
      <c r="X43" s="69">
        <f t="shared" si="34"/>
        <v>-1.7864604038986438E-2</v>
      </c>
      <c r="Y43" s="69">
        <f t="shared" si="34"/>
        <v>-2.233070431557076E-2</v>
      </c>
      <c r="Z43" s="69">
        <f t="shared" si="34"/>
        <v>-0.25606007544348464</v>
      </c>
      <c r="AA43" s="69">
        <f t="shared" si="34"/>
        <v>-5.5434962815128525E-2</v>
      </c>
      <c r="AB43" s="69">
        <f t="shared" si="34"/>
        <v>-1.1113143904609487E-2</v>
      </c>
      <c r="AC43" s="69">
        <f t="shared" si="34"/>
        <v>-1.2786398096924289E-2</v>
      </c>
      <c r="AD43" s="69">
        <f t="shared" si="34"/>
        <v>-2.0230294194913845E-2</v>
      </c>
      <c r="AE43" s="69">
        <f t="shared" si="34"/>
        <v>-2.8052903347291231E-2</v>
      </c>
      <c r="AF43" s="69">
        <f t="shared" si="34"/>
        <v>-1.8597500000209995E-2</v>
      </c>
      <c r="AG43" s="69">
        <f>AVERAGE(AA43,AF43)</f>
        <v>-3.7016231407669256E-2</v>
      </c>
      <c r="AH43" s="69">
        <f>AG43</f>
        <v>-3.7016231407669256E-2</v>
      </c>
      <c r="AI43" s="69">
        <f t="shared" ref="AI43:BW43" si="35">AH43</f>
        <v>-3.7016231407669256E-2</v>
      </c>
      <c r="AJ43" s="69">
        <f t="shared" si="35"/>
        <v>-3.7016231407669256E-2</v>
      </c>
      <c r="AK43" s="69">
        <f t="shared" si="35"/>
        <v>-3.7016231407669256E-2</v>
      </c>
      <c r="AL43" s="69">
        <f t="shared" si="35"/>
        <v>-3.7016231407669256E-2</v>
      </c>
      <c r="AM43" s="69">
        <f t="shared" si="35"/>
        <v>-3.7016231407669256E-2</v>
      </c>
      <c r="AN43" s="69">
        <f t="shared" si="35"/>
        <v>-3.7016231407669256E-2</v>
      </c>
      <c r="AO43" s="69">
        <f t="shared" si="35"/>
        <v>-3.7016231407669256E-2</v>
      </c>
      <c r="AP43" s="69">
        <f t="shared" si="35"/>
        <v>-3.7016231407669256E-2</v>
      </c>
      <c r="AQ43" s="69">
        <f t="shared" si="35"/>
        <v>-3.7016231407669256E-2</v>
      </c>
      <c r="AR43" s="69">
        <f t="shared" si="35"/>
        <v>-3.7016231407669256E-2</v>
      </c>
      <c r="AS43" s="69">
        <f t="shared" si="35"/>
        <v>-3.7016231407669256E-2</v>
      </c>
      <c r="AT43" s="69">
        <f t="shared" si="35"/>
        <v>-3.7016231407669256E-2</v>
      </c>
      <c r="AU43" s="69">
        <f t="shared" si="35"/>
        <v>-3.7016231407669256E-2</v>
      </c>
      <c r="AV43" s="69">
        <f t="shared" si="35"/>
        <v>-3.7016231407669256E-2</v>
      </c>
      <c r="AW43" s="69">
        <f t="shared" si="35"/>
        <v>-3.7016231407669256E-2</v>
      </c>
      <c r="AX43" s="69">
        <f t="shared" si="35"/>
        <v>-3.7016231407669256E-2</v>
      </c>
      <c r="AY43" s="69">
        <f t="shared" si="35"/>
        <v>-3.7016231407669256E-2</v>
      </c>
      <c r="AZ43" s="69">
        <f t="shared" si="35"/>
        <v>-3.7016231407669256E-2</v>
      </c>
      <c r="BA43" s="69">
        <f t="shared" si="35"/>
        <v>-3.7016231407669256E-2</v>
      </c>
      <c r="BB43" s="69">
        <f t="shared" si="35"/>
        <v>-3.7016231407669256E-2</v>
      </c>
      <c r="BC43" s="69">
        <f t="shared" si="35"/>
        <v>-3.7016231407669256E-2</v>
      </c>
      <c r="BD43" s="69">
        <f t="shared" si="35"/>
        <v>-3.7016231407669256E-2</v>
      </c>
      <c r="BE43" s="69">
        <f t="shared" si="35"/>
        <v>-3.7016231407669256E-2</v>
      </c>
      <c r="BF43" s="69">
        <f t="shared" si="35"/>
        <v>-3.7016231407669256E-2</v>
      </c>
      <c r="BG43" s="69">
        <f t="shared" si="35"/>
        <v>-3.7016231407669256E-2</v>
      </c>
      <c r="BH43" s="69">
        <f t="shared" si="35"/>
        <v>-3.7016231407669256E-2</v>
      </c>
      <c r="BI43" s="69">
        <f t="shared" si="35"/>
        <v>-3.7016231407669256E-2</v>
      </c>
      <c r="BJ43" s="69">
        <f t="shared" si="35"/>
        <v>-3.7016231407669256E-2</v>
      </c>
      <c r="BK43" s="69">
        <f t="shared" si="35"/>
        <v>-3.7016231407669256E-2</v>
      </c>
      <c r="BL43" s="69">
        <f t="shared" si="35"/>
        <v>-3.7016231407669256E-2</v>
      </c>
      <c r="BM43" s="69">
        <f t="shared" si="35"/>
        <v>-3.7016231407669256E-2</v>
      </c>
      <c r="BN43" s="69">
        <f t="shared" si="35"/>
        <v>-3.7016231407669256E-2</v>
      </c>
      <c r="BO43" s="69">
        <f t="shared" si="35"/>
        <v>-3.7016231407669256E-2</v>
      </c>
      <c r="BP43" s="69">
        <f t="shared" si="35"/>
        <v>-3.7016231407669256E-2</v>
      </c>
      <c r="BQ43" s="69">
        <f t="shared" si="35"/>
        <v>-3.7016231407669256E-2</v>
      </c>
      <c r="BR43" s="69">
        <f t="shared" si="35"/>
        <v>-3.7016231407669256E-2</v>
      </c>
      <c r="BS43" s="69">
        <f t="shared" si="35"/>
        <v>-3.7016231407669256E-2</v>
      </c>
      <c r="BT43" s="69">
        <f t="shared" si="35"/>
        <v>-3.7016231407669256E-2</v>
      </c>
      <c r="BU43" s="69">
        <f t="shared" si="35"/>
        <v>-3.7016231407669256E-2</v>
      </c>
      <c r="BV43" s="69">
        <f t="shared" si="35"/>
        <v>-3.7016231407669256E-2</v>
      </c>
      <c r="BW43" s="69">
        <f t="shared" si="35"/>
        <v>-3.7016231407669256E-2</v>
      </c>
    </row>
    <row r="44" spans="1:75" x14ac:dyDescent="0.3">
      <c r="A44" s="38" t="s">
        <v>194</v>
      </c>
      <c r="B44" s="38"/>
      <c r="C44" s="48">
        <f>C26+C27</f>
        <v>-2115</v>
      </c>
      <c r="D44" s="48">
        <f>D26+D27</f>
        <v>58709</v>
      </c>
      <c r="E44" s="48">
        <f>E26+E27</f>
        <v>68071</v>
      </c>
      <c r="F44" s="48">
        <f>F26+F27</f>
        <v>45635</v>
      </c>
      <c r="G44" s="48">
        <f t="shared" si="23"/>
        <v>170300</v>
      </c>
      <c r="H44" s="48">
        <f>H26+H27</f>
        <v>21216</v>
      </c>
      <c r="I44" s="48">
        <f>I26+I27</f>
        <v>212882</v>
      </c>
      <c r="J44" s="48">
        <f>J26+J27</f>
        <v>-2311</v>
      </c>
      <c r="K44" s="48">
        <f>K26+K27</f>
        <v>646469</v>
      </c>
      <c r="L44" s="48">
        <f t="shared" si="30"/>
        <v>878256</v>
      </c>
      <c r="M44" s="48">
        <f>M26+M27</f>
        <v>50912</v>
      </c>
      <c r="N44" s="48">
        <f>N26+N27</f>
        <v>101890</v>
      </c>
      <c r="O44" s="48">
        <f>O26+O27</f>
        <v>108023</v>
      </c>
      <c r="P44" s="48">
        <f>P26+P27</f>
        <v>681924</v>
      </c>
      <c r="Q44" s="48">
        <f t="shared" si="24"/>
        <v>942749</v>
      </c>
      <c r="R44" s="48">
        <f>R26+R27</f>
        <v>316773</v>
      </c>
      <c r="S44" s="48">
        <f>S26+S27</f>
        <v>421420</v>
      </c>
      <c r="T44" s="48">
        <f>T26+T27</f>
        <v>431728</v>
      </c>
      <c r="U44" s="48">
        <f>U26+U27</f>
        <v>951522</v>
      </c>
      <c r="V44" s="48">
        <f t="shared" si="25"/>
        <v>2121443</v>
      </c>
      <c r="W44" s="48">
        <f>W26+W27</f>
        <v>950713</v>
      </c>
      <c r="X44" s="48">
        <f>X26+X27</f>
        <v>1022643</v>
      </c>
      <c r="Y44" s="48">
        <f>Y26+Y27</f>
        <v>1277592</v>
      </c>
      <c r="Z44" s="48">
        <f>Z26+Z27</f>
        <v>665265</v>
      </c>
      <c r="AA44" s="48">
        <f t="shared" si="26"/>
        <v>3916213</v>
      </c>
      <c r="AB44" s="48">
        <f>AB26+AB27</f>
        <v>1519843</v>
      </c>
      <c r="AC44" s="48">
        <f>AC26+AC27</f>
        <v>1181189</v>
      </c>
      <c r="AD44" s="48">
        <f>AD26+AD27</f>
        <v>2232324</v>
      </c>
      <c r="AE44" s="48">
        <f>AE26+AE27</f>
        <v>2222506</v>
      </c>
      <c r="AF44" s="48">
        <f>AF26+AF27</f>
        <v>7155862</v>
      </c>
      <c r="AG44" s="48">
        <f t="shared" ref="AG44:BW44" ca="1" si="36">AG26+AG27+AG42</f>
        <v>10190363.656979494</v>
      </c>
      <c r="AH44" s="48">
        <f t="shared" ca="1" si="36"/>
        <v>12672824.412177037</v>
      </c>
      <c r="AI44" s="48">
        <f t="shared" ca="1" si="36"/>
        <v>12338215.307961006</v>
      </c>
      <c r="AJ44" s="48">
        <f t="shared" ca="1" si="36"/>
        <v>12263718.534001814</v>
      </c>
      <c r="AK44" s="48">
        <f t="shared" ca="1" si="36"/>
        <v>11195289.12750737</v>
      </c>
      <c r="AL44" s="48">
        <f t="shared" ca="1" si="36"/>
        <v>11192852.498388488</v>
      </c>
      <c r="AM44" s="48">
        <f t="shared" ca="1" si="36"/>
        <v>10145970.270930199</v>
      </c>
      <c r="AN44" s="48">
        <f t="shared" ca="1" si="36"/>
        <v>8649924.2407949008</v>
      </c>
      <c r="AO44" s="48">
        <f t="shared" ca="1" si="36"/>
        <v>7695947.6751293875</v>
      </c>
      <c r="AP44" s="48">
        <f t="shared" ca="1" si="36"/>
        <v>6677721.5505011259</v>
      </c>
      <c r="AQ44" s="48">
        <f t="shared" ca="1" si="36"/>
        <v>6019508.8816876123</v>
      </c>
      <c r="AR44" s="48">
        <f t="shared" ca="1" si="36"/>
        <v>5300292.7096603187</v>
      </c>
      <c r="AS44" s="48">
        <f t="shared" ca="1" si="36"/>
        <v>4545294.4257582948</v>
      </c>
      <c r="AT44" s="48">
        <f t="shared" ca="1" si="36"/>
        <v>3868402.8146695672</v>
      </c>
      <c r="AU44" s="48">
        <f t="shared" ca="1" si="36"/>
        <v>3516457.017998891</v>
      </c>
      <c r="AV44" s="48">
        <f t="shared" ca="1" si="36"/>
        <v>3346314.7882461762</v>
      </c>
      <c r="AW44" s="48">
        <f t="shared" ca="1" si="36"/>
        <v>2687966.4731694162</v>
      </c>
      <c r="AX44" s="48">
        <f t="shared" ca="1" si="36"/>
        <v>2441193.5352840647</v>
      </c>
      <c r="AY44" s="48">
        <f t="shared" ca="1" si="36"/>
        <v>2226589.8719582236</v>
      </c>
      <c r="AZ44" s="48">
        <f t="shared" ca="1" si="36"/>
        <v>2010096.2305140675</v>
      </c>
      <c r="BA44" s="48">
        <f t="shared" ca="1" si="36"/>
        <v>1856238.1665763909</v>
      </c>
      <c r="BB44" s="48">
        <f t="shared" ca="1" si="36"/>
        <v>1647895.8351039775</v>
      </c>
      <c r="BC44" s="48">
        <f t="shared" ca="1" si="36"/>
        <v>1522991.6391870016</v>
      </c>
      <c r="BD44" s="48">
        <f t="shared" ca="1" si="36"/>
        <v>1412953.0682032451</v>
      </c>
      <c r="BE44" s="48">
        <f t="shared" ca="1" si="36"/>
        <v>1332220.5600841288</v>
      </c>
      <c r="BF44" s="48">
        <f t="shared" ca="1" si="36"/>
        <v>1136737.2763295937</v>
      </c>
      <c r="BG44" s="48">
        <f t="shared" ca="1" si="36"/>
        <v>944395.33431572316</v>
      </c>
      <c r="BH44" s="48">
        <f t="shared" ca="1" si="36"/>
        <v>1162637.0471424118</v>
      </c>
      <c r="BI44" s="48">
        <f t="shared" ca="1" si="36"/>
        <v>1157944.7977523764</v>
      </c>
      <c r="BJ44" s="48">
        <f t="shared" ca="1" si="36"/>
        <v>0</v>
      </c>
      <c r="BK44" s="48">
        <f t="shared" ca="1" si="36"/>
        <v>0</v>
      </c>
      <c r="BL44" s="48">
        <f t="shared" ca="1" si="36"/>
        <v>0</v>
      </c>
      <c r="BM44" s="48">
        <f t="shared" ca="1" si="36"/>
        <v>0</v>
      </c>
      <c r="BN44" s="48">
        <f t="shared" ca="1" si="36"/>
        <v>0</v>
      </c>
      <c r="BO44" s="48">
        <f t="shared" ca="1" si="36"/>
        <v>0</v>
      </c>
      <c r="BP44" s="48">
        <f t="shared" ca="1" si="36"/>
        <v>0</v>
      </c>
      <c r="BQ44" s="48">
        <f t="shared" ca="1" si="36"/>
        <v>0</v>
      </c>
      <c r="BR44" s="48">
        <f t="shared" ca="1" si="36"/>
        <v>0</v>
      </c>
      <c r="BS44" s="48">
        <f t="shared" ca="1" si="36"/>
        <v>0</v>
      </c>
      <c r="BT44" s="48">
        <f t="shared" ca="1" si="36"/>
        <v>0</v>
      </c>
      <c r="BU44" s="48">
        <f t="shared" ca="1" si="36"/>
        <v>0</v>
      </c>
      <c r="BV44" s="48">
        <f t="shared" ca="1" si="36"/>
        <v>0</v>
      </c>
      <c r="BW44" s="48">
        <f t="shared" ca="1" si="36"/>
        <v>0</v>
      </c>
    </row>
    <row r="45" spans="1:75" x14ac:dyDescent="0.3">
      <c r="A45" s="1" t="s">
        <v>98</v>
      </c>
      <c r="C45" s="52">
        <f t="shared" ref="C45:AC45" si="37">C47+C46+C48</f>
        <v>4493</v>
      </c>
      <c r="D45" s="52">
        <f t="shared" si="37"/>
        <v>13368</v>
      </c>
      <c r="E45" s="52">
        <f t="shared" si="37"/>
        <v>27044</v>
      </c>
      <c r="F45" s="52">
        <f t="shared" si="37"/>
        <v>5965</v>
      </c>
      <c r="G45" s="48">
        <f t="shared" si="37"/>
        <v>50870</v>
      </c>
      <c r="H45" s="52">
        <f t="shared" si="37"/>
        <v>-140139</v>
      </c>
      <c r="I45" s="52">
        <f t="shared" si="37"/>
        <v>-11654</v>
      </c>
      <c r="J45" s="52">
        <f t="shared" si="37"/>
        <v>-168878</v>
      </c>
      <c r="K45" s="52">
        <f t="shared" si="37"/>
        <v>-16583</v>
      </c>
      <c r="L45" s="48">
        <f t="shared" si="37"/>
        <v>-337254</v>
      </c>
      <c r="M45" s="52">
        <f t="shared" si="37"/>
        <v>-103483</v>
      </c>
      <c r="N45" s="52">
        <f t="shared" si="37"/>
        <v>-224644</v>
      </c>
      <c r="O45" s="52">
        <f t="shared" si="37"/>
        <v>-182181</v>
      </c>
      <c r="P45" s="52">
        <f t="shared" si="37"/>
        <v>51639</v>
      </c>
      <c r="Q45" s="48">
        <f t="shared" si="37"/>
        <v>-458669</v>
      </c>
      <c r="R45" s="52">
        <f t="shared" si="37"/>
        <v>-362048</v>
      </c>
      <c r="S45" s="52">
        <f t="shared" si="37"/>
        <v>140421</v>
      </c>
      <c r="T45" s="52">
        <f t="shared" si="37"/>
        <v>-264307</v>
      </c>
      <c r="U45" s="52">
        <f t="shared" si="37"/>
        <v>-136388</v>
      </c>
      <c r="V45" s="48">
        <f t="shared" si="37"/>
        <v>-622322</v>
      </c>
      <c r="W45" s="52">
        <f t="shared" si="37"/>
        <v>-45470</v>
      </c>
      <c r="X45" s="52">
        <f t="shared" si="37"/>
        <v>-73071</v>
      </c>
      <c r="Y45" s="52">
        <f t="shared" si="37"/>
        <v>-31198</v>
      </c>
      <c r="Z45" s="52">
        <f t="shared" si="37"/>
        <v>-104654</v>
      </c>
      <c r="AA45" s="48">
        <f t="shared" si="37"/>
        <v>-254393</v>
      </c>
      <c r="AB45" s="52">
        <f t="shared" si="37"/>
        <v>-264290</v>
      </c>
      <c r="AC45" s="52">
        <f t="shared" si="37"/>
        <v>-341054</v>
      </c>
      <c r="AD45" s="52">
        <f>AD47+AD46+AD48</f>
        <v>-112097</v>
      </c>
      <c r="AE45" s="52">
        <f>AE47+AE46+AE48</f>
        <v>-333749</v>
      </c>
      <c r="AF45" s="52">
        <f t="shared" ref="AF45:BW45" si="38">AF47+AF46+AF48</f>
        <v>-1051190</v>
      </c>
      <c r="AG45" s="52">
        <f t="shared" ca="1" si="38"/>
        <v>-311567.33934736403</v>
      </c>
      <c r="AH45" s="52">
        <f t="shared" ca="1" si="38"/>
        <v>222268.58108767311</v>
      </c>
      <c r="AI45" s="52">
        <f t="shared" ca="1" si="38"/>
        <v>124528.27915828009</v>
      </c>
      <c r="AJ45" s="52">
        <f t="shared" ca="1" si="38"/>
        <v>167518.69219870528</v>
      </c>
      <c r="AK45" s="52">
        <f t="shared" ca="1" si="38"/>
        <v>169436.7082793864</v>
      </c>
      <c r="AL45" s="52">
        <f t="shared" ca="1" si="38"/>
        <v>171921.55362573834</v>
      </c>
      <c r="AM45" s="52">
        <f t="shared" ca="1" si="38"/>
        <v>173828.27288767113</v>
      </c>
      <c r="AN45" s="52">
        <f t="shared" ca="1" si="38"/>
        <v>155842.40972997528</v>
      </c>
      <c r="AO45" s="52">
        <f t="shared" ca="1" si="38"/>
        <v>133347.32468085259</v>
      </c>
      <c r="AP45" s="52">
        <f t="shared" ca="1" si="38"/>
        <v>118777.53164914798</v>
      </c>
      <c r="AQ45" s="52">
        <f t="shared" ca="1" si="38"/>
        <v>123949.26549949027</v>
      </c>
      <c r="AR45" s="52">
        <f t="shared" ca="1" si="38"/>
        <v>112426.49209097479</v>
      </c>
      <c r="AS45" s="52">
        <f t="shared" ca="1" si="38"/>
        <v>100725.54755579983</v>
      </c>
      <c r="AT45" s="52">
        <f t="shared" ca="1" si="38"/>
        <v>88922.559142737096</v>
      </c>
      <c r="AU45" s="52">
        <f t="shared" ca="1" si="38"/>
        <v>78854.910918951195</v>
      </c>
      <c r="AV45" s="52">
        <f t="shared" ca="1" si="38"/>
        <v>71616.670532629752</v>
      </c>
      <c r="AW45" s="52">
        <f t="shared" ca="1" si="38"/>
        <v>65375.059548459205</v>
      </c>
      <c r="AX45" s="52">
        <f t="shared" ca="1" si="38"/>
        <v>53064.808375884386</v>
      </c>
      <c r="AY45" s="52">
        <f t="shared" ca="1" si="38"/>
        <v>47890.046880938084</v>
      </c>
      <c r="AZ45" s="52">
        <f t="shared" ca="1" si="38"/>
        <v>43349.832152000999</v>
      </c>
      <c r="BA45" s="52">
        <f t="shared" ca="1" si="38"/>
        <v>33414.452254262374</v>
      </c>
      <c r="BB45" s="52">
        <f t="shared" ca="1" si="38"/>
        <v>30571.594446932471</v>
      </c>
      <c r="BC45" s="52">
        <f t="shared" ca="1" si="38"/>
        <v>27359.254465329464</v>
      </c>
      <c r="BD45" s="52">
        <f t="shared" ca="1" si="38"/>
        <v>25536.968164491322</v>
      </c>
      <c r="BE45" s="52">
        <f t="shared" ca="1" si="38"/>
        <v>24114.241775072805</v>
      </c>
      <c r="BF45" s="52">
        <f t="shared" ca="1" si="38"/>
        <v>22914.560551803443</v>
      </c>
      <c r="BG45" s="52">
        <f t="shared" ca="1" si="38"/>
        <v>20682.748490265105</v>
      </c>
      <c r="BH45" s="52">
        <f t="shared" ca="1" si="38"/>
        <v>19424.061229606934</v>
      </c>
      <c r="BI45" s="52">
        <f t="shared" ca="1" si="38"/>
        <v>18629.497811262081</v>
      </c>
      <c r="BJ45" s="52">
        <f t="shared" ca="1" si="38"/>
        <v>0</v>
      </c>
      <c r="BK45" s="52">
        <f t="shared" ca="1" si="38"/>
        <v>0</v>
      </c>
      <c r="BL45" s="52">
        <f t="shared" ca="1" si="38"/>
        <v>0</v>
      </c>
      <c r="BM45" s="52">
        <f t="shared" ca="1" si="38"/>
        <v>0</v>
      </c>
      <c r="BN45" s="52">
        <f t="shared" ca="1" si="38"/>
        <v>0</v>
      </c>
      <c r="BO45" s="52">
        <f t="shared" ca="1" si="38"/>
        <v>0</v>
      </c>
      <c r="BP45" s="52">
        <f t="shared" ca="1" si="38"/>
        <v>0</v>
      </c>
      <c r="BQ45" s="52">
        <f t="shared" ca="1" si="38"/>
        <v>0</v>
      </c>
      <c r="BR45" s="52">
        <f t="shared" ca="1" si="38"/>
        <v>0</v>
      </c>
      <c r="BS45" s="52">
        <f t="shared" ca="1" si="38"/>
        <v>0</v>
      </c>
      <c r="BT45" s="52">
        <f t="shared" ca="1" si="38"/>
        <v>0</v>
      </c>
      <c r="BU45" s="52">
        <f t="shared" ca="1" si="38"/>
        <v>0</v>
      </c>
      <c r="BV45" s="52">
        <f t="shared" ca="1" si="38"/>
        <v>0</v>
      </c>
      <c r="BW45" s="52">
        <f t="shared" ca="1" si="38"/>
        <v>0</v>
      </c>
    </row>
    <row r="46" spans="1:75" x14ac:dyDescent="0.3">
      <c r="A46" s="42" t="s">
        <v>195</v>
      </c>
      <c r="B46" s="42"/>
      <c r="C46" s="49">
        <v>49311</v>
      </c>
      <c r="D46" s="49">
        <v>87825</v>
      </c>
      <c r="E46" s="49">
        <v>113019</v>
      </c>
      <c r="F46" s="49">
        <v>66530</v>
      </c>
      <c r="G46" s="51">
        <f t="shared" si="23"/>
        <v>316685</v>
      </c>
      <c r="H46" s="49">
        <v>60978</v>
      </c>
      <c r="I46" s="49">
        <v>68899</v>
      </c>
      <c r="J46" s="49">
        <v>69774</v>
      </c>
      <c r="K46" s="49">
        <v>177491</v>
      </c>
      <c r="L46" s="51">
        <f t="shared" si="30"/>
        <v>377142</v>
      </c>
      <c r="M46" s="49">
        <v>654267</v>
      </c>
      <c r="N46" s="49">
        <v>105078</v>
      </c>
      <c r="O46" s="49">
        <v>275498</v>
      </c>
      <c r="P46" s="49">
        <v>434308</v>
      </c>
      <c r="Q46" s="51">
        <f t="shared" si="24"/>
        <v>1469151</v>
      </c>
      <c r="R46" s="49">
        <v>54154</v>
      </c>
      <c r="S46" s="49">
        <v>2466</v>
      </c>
      <c r="T46" s="49">
        <v>26670</v>
      </c>
      <c r="U46" s="49">
        <v>863246</v>
      </c>
      <c r="V46" s="51">
        <f t="shared" si="25"/>
        <v>946536</v>
      </c>
      <c r="W46" s="49">
        <v>312508</v>
      </c>
      <c r="X46" s="49">
        <v>45512</v>
      </c>
      <c r="Y46" s="49">
        <v>156263</v>
      </c>
      <c r="Z46" s="49">
        <v>-235603</v>
      </c>
      <c r="AA46" s="51">
        <f t="shared" si="26"/>
        <v>278680</v>
      </c>
      <c r="AB46" s="49">
        <v>292006</v>
      </c>
      <c r="AC46" s="49">
        <v>770698</v>
      </c>
      <c r="AD46" s="49">
        <v>102994</v>
      </c>
      <c r="AE46" s="49">
        <f>AF46-AD46-AC46-AB46</f>
        <v>-994865</v>
      </c>
      <c r="AF46" s="49">
        <v>170833</v>
      </c>
      <c r="AG46" s="51">
        <f ca="1">IF(AG$11=0,0,'Resultado Financeiro e Dívida'!AG10*1000)</f>
        <v>117704.3112</v>
      </c>
      <c r="AH46" s="51">
        <f ca="1">IF(AH$11=0,0,'Resultado Financeiro e Dívida'!AH10*1000)</f>
        <v>177133.68697014728</v>
      </c>
      <c r="AI46" s="51">
        <f ca="1">IF(AI$11=0,0,'Resultado Financeiro e Dívida'!AI10*1000)</f>
        <v>204397.36959646887</v>
      </c>
      <c r="AJ46" s="51">
        <f ca="1">IF(AJ$11=0,0,'Resultado Financeiro e Dívida'!AJ10*1000)</f>
        <v>209138.13152738867</v>
      </c>
      <c r="AK46" s="51">
        <f ca="1">IF(AK$11=0,0,'Resultado Financeiro e Dívida'!AK10*1000)</f>
        <v>215207.97122335067</v>
      </c>
      <c r="AL46" s="51">
        <f ca="1">IF(AL$11=0,0,'Resultado Financeiro e Dívida'!AL10*1000)</f>
        <v>222316.20054939337</v>
      </c>
      <c r="AM46" s="51">
        <f ca="1">IF(AM$11=0,0,'Resultado Financeiro e Dívida'!AM10*1000)</f>
        <v>224781.82846449429</v>
      </c>
      <c r="AN46" s="51">
        <f ca="1">IF(AN$11=0,0,'Resultado Financeiro e Dívida'!AN10*1000)</f>
        <v>202334.72265393377</v>
      </c>
      <c r="AO46" s="51">
        <f ca="1">IF(AO$11=0,0,'Resultado Financeiro e Dívida'!AO10*1000)</f>
        <v>173128.70099155503</v>
      </c>
      <c r="AP46" s="51">
        <f ca="1">IF(AP$11=0,0,'Resultado Financeiro e Dívida'!AP10*1000)</f>
        <v>154212.31592472311</v>
      </c>
      <c r="AQ46" s="51">
        <f ca="1">IF(AQ$11=0,0,'Resultado Financeiro e Dívida'!AQ10*1000)</f>
        <v>155842.25280553821</v>
      </c>
      <c r="AR46" s="51">
        <f ca="1">IF(AR$11=0,0,'Resultado Financeiro e Dívida'!AR10*1000)</f>
        <v>141354.59158936032</v>
      </c>
      <c r="AS46" s="51">
        <f ca="1">IF(AS$11=0,0,'Resultado Financeiro e Dívida'!AS10*1000)</f>
        <v>126642.91460631357</v>
      </c>
      <c r="AT46" s="51">
        <f ca="1">IF(AT$11=0,0,'Resultado Financeiro e Dívida'!AT10*1000)</f>
        <v>111802.93716298674</v>
      </c>
      <c r="AU46" s="51">
        <f ca="1">IF(AU$11=0,0,'Resultado Financeiro e Dívida'!AU10*1000)</f>
        <v>99144.814718082591</v>
      </c>
      <c r="AV46" s="51">
        <f ca="1">IF(AV$11=0,0,'Resultado Financeiro e Dívida'!AV10*1000)</f>
        <v>90044.125951540496</v>
      </c>
      <c r="AW46" s="51">
        <f ca="1">IF(AW$11=0,0,'Resultado Financeiro e Dívida'!AW10*1000)</f>
        <v>82196.50609684315</v>
      </c>
      <c r="AX46" s="51">
        <f ca="1">IF(AX$11=0,0,'Resultado Financeiro e Dívida'!AX10*1000)</f>
        <v>66718.743742987514</v>
      </c>
      <c r="AY46" s="51">
        <f ca="1">IF(AY$11=0,0,'Resultado Financeiro e Dívida'!AY10*1000)</f>
        <v>60212.480992224555</v>
      </c>
      <c r="AZ46" s="51">
        <f ca="1">IF(AZ$11=0,0,'Resultado Financeiro e Dívida'!AZ10*1000)</f>
        <v>54504.038197286216</v>
      </c>
      <c r="BA46" s="51">
        <f ca="1">IF(BA$11=0,0,'Resultado Financeiro e Dívida'!BA10*1000)</f>
        <v>43463.631659818559</v>
      </c>
      <c r="BB46" s="51">
        <f ca="1">IF(BB$11=0,0,'Resultado Financeiro e Dívida'!BB10*1000)</f>
        <v>39765.802838361058</v>
      </c>
      <c r="BC46" s="51">
        <f ca="1">IF(BC$11=0,0,'Resultado Financeiro e Dívida'!BC10*1000)</f>
        <v>35587.372479422716</v>
      </c>
      <c r="BD46" s="51">
        <f ca="1">IF(BD$11=0,0,'Resultado Financeiro e Dívida'!BD10*1000)</f>
        <v>33217.045413886088</v>
      </c>
      <c r="BE46" s="51">
        <f ca="1">IF(BE$11=0,0,'Resultado Financeiro e Dívida'!BE10*1000)</f>
        <v>31366.443306993846</v>
      </c>
      <c r="BF46" s="51">
        <f ca="1">IF(BF$11=0,0,'Resultado Financeiro e Dívida'!BF10*1000)</f>
        <v>29805.965750737254</v>
      </c>
      <c r="BG46" s="51">
        <f ca="1">IF(BG$11=0,0,'Resultado Financeiro e Dívida'!BG10*1000)</f>
        <v>26902.950712857499</v>
      </c>
      <c r="BH46" s="51">
        <f ca="1">IF(BH$11=0,0,'Resultado Financeiro e Dívida'!BH10*1000)</f>
        <v>25265.721436858275</v>
      </c>
      <c r="BI46" s="51">
        <f ca="1">IF(BI$11=0,0,'Resultado Financeiro e Dívida'!BI10*1000)</f>
        <v>24232.198233110488</v>
      </c>
      <c r="BJ46" s="51">
        <f ca="1">IF(BJ$11=0,0,'Resultado Financeiro e Dívida'!BJ10*1000)</f>
        <v>0</v>
      </c>
      <c r="BK46" s="51">
        <f ca="1">IF(BK$11=0,0,'Resultado Financeiro e Dívida'!BK10*1000)</f>
        <v>0</v>
      </c>
      <c r="BL46" s="51">
        <f ca="1">IF(BL$11=0,0,'Resultado Financeiro e Dívida'!BL10*1000)</f>
        <v>0</v>
      </c>
      <c r="BM46" s="51">
        <f ca="1">IF(BM$11=0,0,'Resultado Financeiro e Dívida'!BM10*1000)</f>
        <v>0</v>
      </c>
      <c r="BN46" s="51">
        <f ca="1">IF(BN$11=0,0,'Resultado Financeiro e Dívida'!BN10*1000)</f>
        <v>0</v>
      </c>
      <c r="BO46" s="51">
        <f ca="1">IF(BO$11=0,0,'Resultado Financeiro e Dívida'!BO10*1000)</f>
        <v>0</v>
      </c>
      <c r="BP46" s="51">
        <f ca="1">IF(BP$11=0,0,'Resultado Financeiro e Dívida'!BP10*1000)</f>
        <v>0</v>
      </c>
      <c r="BQ46" s="51">
        <f ca="1">IF(BQ$11=0,0,'Resultado Financeiro e Dívida'!BQ10*1000)</f>
        <v>0</v>
      </c>
      <c r="BR46" s="51">
        <f ca="1">IF(BR$11=0,0,'Resultado Financeiro e Dívida'!BR10*1000)</f>
        <v>0</v>
      </c>
      <c r="BS46" s="51">
        <f ca="1">IF(BS$11=0,0,'Resultado Financeiro e Dívida'!BS10*1000)</f>
        <v>0</v>
      </c>
      <c r="BT46" s="51">
        <f ca="1">IF(BT$11=0,0,'Resultado Financeiro e Dívida'!BT10*1000)</f>
        <v>0</v>
      </c>
      <c r="BU46" s="51">
        <f ca="1">IF(BU$11=0,0,'Resultado Financeiro e Dívida'!BU10*1000)</f>
        <v>0</v>
      </c>
      <c r="BV46" s="51">
        <f ca="1">IF(BV$11=0,0,'Resultado Financeiro e Dívida'!BV10*1000)</f>
        <v>0</v>
      </c>
      <c r="BW46" s="51">
        <f ca="1">IF(BW$11=0,0,'Resultado Financeiro e Dívida'!BW10*1000)</f>
        <v>0</v>
      </c>
    </row>
    <row r="47" spans="1:75" x14ac:dyDescent="0.3">
      <c r="A47" s="42" t="s">
        <v>196</v>
      </c>
      <c r="B47" s="42"/>
      <c r="C47" s="49">
        <v>-44818</v>
      </c>
      <c r="D47" s="49">
        <v>-74457</v>
      </c>
      <c r="E47" s="49">
        <v>-85975</v>
      </c>
      <c r="F47" s="49">
        <v>-60565</v>
      </c>
      <c r="G47" s="51">
        <f t="shared" si="23"/>
        <v>-265815</v>
      </c>
      <c r="H47" s="49">
        <v>-201117</v>
      </c>
      <c r="I47" s="49">
        <v>-80553</v>
      </c>
      <c r="J47" s="49">
        <v>-238652</v>
      </c>
      <c r="K47" s="49">
        <v>-194074</v>
      </c>
      <c r="L47" s="51">
        <f t="shared" si="30"/>
        <v>-714396</v>
      </c>
      <c r="M47" s="49">
        <v>-757750</v>
      </c>
      <c r="N47" s="49">
        <v>-329722</v>
      </c>
      <c r="O47" s="49">
        <v>-457679</v>
      </c>
      <c r="P47" s="49">
        <v>-382669</v>
      </c>
      <c r="Q47" s="51">
        <f t="shared" si="24"/>
        <v>-1927820</v>
      </c>
      <c r="R47" s="49">
        <v>-416202</v>
      </c>
      <c r="S47" s="49">
        <v>-155627</v>
      </c>
      <c r="T47" s="49">
        <v>-105195</v>
      </c>
      <c r="U47" s="49">
        <v>-891834</v>
      </c>
      <c r="V47" s="51">
        <f t="shared" si="25"/>
        <v>-1568858</v>
      </c>
      <c r="W47" s="49">
        <v>-357978</v>
      </c>
      <c r="X47" s="49">
        <v>-118583</v>
      </c>
      <c r="Y47" s="49">
        <v>-139539</v>
      </c>
      <c r="Z47" s="49">
        <v>58001</v>
      </c>
      <c r="AA47" s="51">
        <f t="shared" si="26"/>
        <v>-558099</v>
      </c>
      <c r="AB47" s="49">
        <v>-556296</v>
      </c>
      <c r="AC47" s="49">
        <v>-1111752</v>
      </c>
      <c r="AD47" s="49">
        <v>-302595</v>
      </c>
      <c r="AE47" s="49">
        <f>AF47-AD47-AC47-AB47</f>
        <v>895815</v>
      </c>
      <c r="AF47" s="49">
        <v>-1074828</v>
      </c>
      <c r="AG47" s="51">
        <f ca="1">IF(AG11=0,0,'Resultado Financeiro e Dívida'!AG11*1000)</f>
        <v>-430750.28334736713</v>
      </c>
      <c r="AH47" s="51">
        <f ca="1">IF(AH11=0,0,'Resultado Financeiro e Dívida'!AH11*1000)</f>
        <v>-318152.6678671586</v>
      </c>
      <c r="AI47" s="51">
        <f ca="1">IF(AI11=0,0,'Resultado Financeiro e Dívida'!AI11*1000)</f>
        <v>-233368.88943813884</v>
      </c>
      <c r="AJ47" s="51">
        <f ca="1">IF(AJ11=0,0,'Resultado Financeiro e Dívida'!AJ11*1000)</f>
        <v>-82166.591608863891</v>
      </c>
      <c r="AK47" s="51">
        <f ca="1">IF(AK11=0,0,'Resultado Financeiro e Dívida'!AK11*1000)</f>
        <v>-45771.262943964284</v>
      </c>
      <c r="AL47" s="51">
        <f ca="1">IF(AL11=0,0,'Resultado Financeiro e Dívida'!AL11*1000)</f>
        <v>0</v>
      </c>
      <c r="AM47" s="51">
        <f ca="1">IF(AM11=0,0,'Resultado Financeiro e Dívida'!AM11*1000)</f>
        <v>0</v>
      </c>
      <c r="AN47" s="51">
        <f ca="1">IF(AN11=0,0,'Resultado Financeiro e Dívida'!AN11*1000)</f>
        <v>0</v>
      </c>
      <c r="AO47" s="51">
        <f ca="1">IF(AO11=0,0,'Resultado Financeiro e Dívida'!AO11*1000)</f>
        <v>0</v>
      </c>
      <c r="AP47" s="51">
        <f ca="1">IF(AP11=0,0,'Resultado Financeiro e Dívida'!AP11*1000)</f>
        <v>0</v>
      </c>
      <c r="AQ47" s="51">
        <f ca="1">IF(AQ11=0,0,'Resultado Financeiro e Dívida'!AQ11*1000)</f>
        <v>0</v>
      </c>
      <c r="AR47" s="51">
        <f ca="1">IF(AR11=0,0,'Resultado Financeiro e Dívida'!AR11*1000)</f>
        <v>0</v>
      </c>
      <c r="AS47" s="51">
        <f ca="1">IF(AS11=0,0,'Resultado Financeiro e Dívida'!AS11*1000)</f>
        <v>0</v>
      </c>
      <c r="AT47" s="51">
        <f ca="1">IF(AT11=0,0,'Resultado Financeiro e Dívida'!AT11*1000)</f>
        <v>0</v>
      </c>
      <c r="AU47" s="51">
        <f ca="1">IF(AU11=0,0,'Resultado Financeiro e Dívida'!AU11*1000)</f>
        <v>0</v>
      </c>
      <c r="AV47" s="51">
        <f ca="1">IF(AV11=0,0,'Resultado Financeiro e Dívida'!AV11*1000)</f>
        <v>0</v>
      </c>
      <c r="AW47" s="51">
        <f ca="1">IF(AW11=0,0,'Resultado Financeiro e Dívida'!AW11*1000)</f>
        <v>0</v>
      </c>
      <c r="AX47" s="51">
        <f ca="1">IF(AX11=0,0,'Resultado Financeiro e Dívida'!AX11*1000)</f>
        <v>0</v>
      </c>
      <c r="AY47" s="51">
        <f ca="1">IF(AY11=0,0,'Resultado Financeiro e Dívida'!AY11*1000)</f>
        <v>0</v>
      </c>
      <c r="AZ47" s="51">
        <f ca="1">IF(AZ11=0,0,'Resultado Financeiro e Dívida'!AZ11*1000)</f>
        <v>0</v>
      </c>
      <c r="BA47" s="51">
        <f ca="1">IF(BA11=0,0,'Resultado Financeiro e Dívida'!BA11*1000)</f>
        <v>0</v>
      </c>
      <c r="BB47" s="51">
        <f ca="1">IF(BB11=0,0,'Resultado Financeiro e Dívida'!BB11*1000)</f>
        <v>0</v>
      </c>
      <c r="BC47" s="51">
        <f ca="1">IF(BC11=0,0,'Resultado Financeiro e Dívida'!BC11*1000)</f>
        <v>0</v>
      </c>
      <c r="BD47" s="51">
        <f ca="1">IF(BD11=0,0,'Resultado Financeiro e Dívida'!BD11*1000)</f>
        <v>0</v>
      </c>
      <c r="BE47" s="51">
        <f ca="1">IF(BE11=0,0,'Resultado Financeiro e Dívida'!BE11*1000)</f>
        <v>0</v>
      </c>
      <c r="BF47" s="51">
        <f ca="1">IF(BF11=0,0,'Resultado Financeiro e Dívida'!BF11*1000)</f>
        <v>0</v>
      </c>
      <c r="BG47" s="51">
        <f ca="1">IF(BG11=0,0,'Resultado Financeiro e Dívida'!BG11*1000)</f>
        <v>0</v>
      </c>
      <c r="BH47" s="51">
        <f ca="1">IF(BH11=0,0,'Resultado Financeiro e Dívida'!BH11*1000)</f>
        <v>0</v>
      </c>
      <c r="BI47" s="51">
        <f ca="1">IF(BI11=0,0,'Resultado Financeiro e Dívida'!BI11*1000)</f>
        <v>0</v>
      </c>
      <c r="BJ47" s="51">
        <f ca="1">IF(BJ11=0,0,'Resultado Financeiro e Dívida'!BJ11*1000)</f>
        <v>0</v>
      </c>
      <c r="BK47" s="51">
        <f ca="1">IF(BK11=0,0,'Resultado Financeiro e Dívida'!BK11*1000)</f>
        <v>0</v>
      </c>
      <c r="BL47" s="51">
        <f ca="1">IF(BL11=0,0,'Resultado Financeiro e Dívida'!BL11*1000)</f>
        <v>0</v>
      </c>
      <c r="BM47" s="51">
        <f ca="1">IF(BM11=0,0,'Resultado Financeiro e Dívida'!BM11*1000)</f>
        <v>0</v>
      </c>
      <c r="BN47" s="51">
        <f ca="1">IF(BN11=0,0,'Resultado Financeiro e Dívida'!BN11*1000)</f>
        <v>0</v>
      </c>
      <c r="BO47" s="51">
        <f ca="1">IF(BO11=0,0,'Resultado Financeiro e Dívida'!BO11*1000)</f>
        <v>0</v>
      </c>
      <c r="BP47" s="51">
        <f ca="1">IF(BP11=0,0,'Resultado Financeiro e Dívida'!BP11*1000)</f>
        <v>0</v>
      </c>
      <c r="BQ47" s="51">
        <f ca="1">IF(BQ11=0,0,'Resultado Financeiro e Dívida'!BQ11*1000)</f>
        <v>0</v>
      </c>
      <c r="BR47" s="51">
        <f ca="1">IF(BR11=0,0,'Resultado Financeiro e Dívida'!BR11*1000)</f>
        <v>0</v>
      </c>
      <c r="BS47" s="51">
        <f ca="1">IF(BS11=0,0,'Resultado Financeiro e Dívida'!BS11*1000)</f>
        <v>0</v>
      </c>
      <c r="BT47" s="51">
        <f ca="1">IF(BT11=0,0,'Resultado Financeiro e Dívida'!BT11*1000)</f>
        <v>0</v>
      </c>
      <c r="BU47" s="51">
        <f ca="1">IF(BU11=0,0,'Resultado Financeiro e Dívida'!BU11*1000)</f>
        <v>0</v>
      </c>
      <c r="BV47" s="51">
        <f ca="1">IF(BV11=0,0,'Resultado Financeiro e Dívida'!BV11*1000)</f>
        <v>0</v>
      </c>
      <c r="BW47" s="51">
        <f ca="1">IF(BW11=0,0,'Resultado Financeiro e Dívida'!BW11*1000)</f>
        <v>0</v>
      </c>
    </row>
    <row r="48" spans="1:75" x14ac:dyDescent="0.3">
      <c r="A48" s="42" t="s">
        <v>708</v>
      </c>
      <c r="B48" s="42"/>
      <c r="C48" s="49">
        <v>0</v>
      </c>
      <c r="D48" s="49">
        <v>0</v>
      </c>
      <c r="E48" s="49">
        <v>0</v>
      </c>
      <c r="F48" s="49">
        <v>0</v>
      </c>
      <c r="G48" s="51">
        <f t="shared" si="23"/>
        <v>0</v>
      </c>
      <c r="H48" s="49">
        <v>0</v>
      </c>
      <c r="I48" s="49">
        <v>0</v>
      </c>
      <c r="J48" s="49">
        <v>0</v>
      </c>
      <c r="K48" s="49">
        <v>0</v>
      </c>
      <c r="L48" s="51">
        <f t="shared" si="30"/>
        <v>0</v>
      </c>
      <c r="M48" s="49">
        <v>0</v>
      </c>
      <c r="N48" s="49">
        <v>0</v>
      </c>
      <c r="O48" s="49">
        <v>0</v>
      </c>
      <c r="P48" s="49">
        <v>0</v>
      </c>
      <c r="Q48" s="51">
        <f t="shared" si="24"/>
        <v>0</v>
      </c>
      <c r="R48" s="49">
        <v>0</v>
      </c>
      <c r="S48" s="49">
        <v>293582</v>
      </c>
      <c r="T48" s="49">
        <v>-185782</v>
      </c>
      <c r="U48" s="49">
        <v>-107800</v>
      </c>
      <c r="V48" s="51">
        <f t="shared" si="25"/>
        <v>0</v>
      </c>
      <c r="W48" s="49">
        <v>0</v>
      </c>
      <c r="X48" s="49">
        <v>0</v>
      </c>
      <c r="Y48" s="49">
        <v>-47922</v>
      </c>
      <c r="Z48" s="49">
        <v>72948</v>
      </c>
      <c r="AA48" s="51">
        <f t="shared" si="26"/>
        <v>25026</v>
      </c>
      <c r="AB48" s="49">
        <v>0</v>
      </c>
      <c r="AC48" s="49">
        <v>0</v>
      </c>
      <c r="AD48" s="49">
        <v>87504</v>
      </c>
      <c r="AE48" s="49">
        <f>AF48-AD48-AC48-AB48</f>
        <v>-234699</v>
      </c>
      <c r="AF48" s="49">
        <v>-147195</v>
      </c>
      <c r="AG48" s="51">
        <f ca="1">IF(AG11=0,0,-'Resultado Financeiro e Dívida'!AG12*1000)</f>
        <v>1478.6328000031203</v>
      </c>
      <c r="AH48" s="51">
        <f ca="1">IF(AH11=0,0,-'Resultado Financeiro e Dívida'!AH12*1000)</f>
        <v>363287.56198468443</v>
      </c>
      <c r="AI48" s="51">
        <f ca="1">IF(AI11=0,0,-'Resultado Financeiro e Dívida'!AI12*1000)</f>
        <v>153499.79899995006</v>
      </c>
      <c r="AJ48" s="51">
        <f ca="1">IF(AJ11=0,0,-'Resultado Financeiro e Dívida'!AJ12*1000)</f>
        <v>40547.152280180482</v>
      </c>
      <c r="AK48" s="51">
        <f ca="1">IF(AK11=0,0,-'Resultado Financeiro e Dívida'!AK12*1000)</f>
        <v>0</v>
      </c>
      <c r="AL48" s="51">
        <f ca="1">IF(AL11=0,0,-'Resultado Financeiro e Dívida'!AL12*1000)</f>
        <v>-50394.64692365504</v>
      </c>
      <c r="AM48" s="51">
        <f ca="1">IF(AM11=0,0,-'Resultado Financeiro e Dívida'!AM12*1000)</f>
        <v>-50953.555576823157</v>
      </c>
      <c r="AN48" s="51">
        <f ca="1">IF(AN11=0,0,-'Resultado Financeiro e Dívida'!AN12*1000)</f>
        <v>-46492.312923958503</v>
      </c>
      <c r="AO48" s="51">
        <f ca="1">IF(AO11=0,0,-'Resultado Financeiro e Dívida'!AO12*1000)</f>
        <v>-39781.37631070245</v>
      </c>
      <c r="AP48" s="51">
        <f ca="1">IF(AP11=0,0,-'Resultado Financeiro e Dívida'!AP12*1000)</f>
        <v>-35434.784275575126</v>
      </c>
      <c r="AQ48" s="51">
        <f ca="1">IF(AQ11=0,0,-'Resultado Financeiro e Dívida'!AQ12*1000)</f>
        <v>-31892.987306047948</v>
      </c>
      <c r="AR48" s="51">
        <f ca="1">IF(AR11=0,0,-'Resultado Financeiro e Dívida'!AR12*1000)</f>
        <v>-28928.099498385534</v>
      </c>
      <c r="AS48" s="51">
        <f ca="1">IF(AS11=0,0,-'Resultado Financeiro e Dívida'!AS12*1000)</f>
        <v>-25917.367050513749</v>
      </c>
      <c r="AT48" s="51">
        <f ca="1">IF(AT11=0,0,-'Resultado Financeiro e Dívida'!AT12*1000)</f>
        <v>-22880.378020249645</v>
      </c>
      <c r="AU48" s="51">
        <f ca="1">IF(AU11=0,0,-'Resultado Financeiro e Dívida'!AU12*1000)</f>
        <v>-20289.903799131396</v>
      </c>
      <c r="AV48" s="51">
        <f ca="1">IF(AV11=0,0,-'Resultado Financeiro e Dívida'!AV12*1000)</f>
        <v>-18427.45541891074</v>
      </c>
      <c r="AW48" s="51">
        <f ca="1">IF(AW11=0,0,-'Resultado Financeiro e Dívida'!AW12*1000)</f>
        <v>-16821.446548383945</v>
      </c>
      <c r="AX48" s="51">
        <f ca="1">IF(AX11=0,0,-'Resultado Financeiro e Dívida'!AX12*1000)</f>
        <v>-13653.935367103126</v>
      </c>
      <c r="AY48" s="51">
        <f ca="1">IF(AY11=0,0,-'Resultado Financeiro e Dívida'!AY12*1000)</f>
        <v>-12322.434111286473</v>
      </c>
      <c r="AZ48" s="51">
        <f ca="1">IF(AZ11=0,0,-'Resultado Financeiro e Dívida'!AZ12*1000)</f>
        <v>-11154.206045285218</v>
      </c>
      <c r="BA48" s="51">
        <f ca="1">IF(BA11=0,0,-'Resultado Financeiro e Dívida'!BA12*1000)</f>
        <v>-10049.179405556184</v>
      </c>
      <c r="BB48" s="51">
        <f ca="1">IF(BB11=0,0,-'Resultado Financeiro e Dívida'!BB12*1000)</f>
        <v>-9194.2083914285868</v>
      </c>
      <c r="BC48" s="51">
        <f ca="1">IF(BC11=0,0,-'Resultado Financeiro e Dívida'!BC12*1000)</f>
        <v>-8228.118014093252</v>
      </c>
      <c r="BD48" s="51">
        <f ca="1">IF(BD11=0,0,-'Resultado Financeiro e Dívida'!BD12*1000)</f>
        <v>-7680.0772493947661</v>
      </c>
      <c r="BE48" s="51">
        <f ca="1">IF(BE11=0,0,-'Resultado Financeiro e Dívida'!BE12*1000)</f>
        <v>-7252.2015319210414</v>
      </c>
      <c r="BF48" s="51">
        <f ca="1">IF(BF11=0,0,-'Resultado Financeiro e Dívida'!BF12*1000)</f>
        <v>-6891.4051989338132</v>
      </c>
      <c r="BG48" s="51">
        <f ca="1">IF(BG11=0,0,-'Resultado Financeiro e Dívida'!BG12*1000)</f>
        <v>-6220.2022225923947</v>
      </c>
      <c r="BH48" s="51">
        <f ca="1">IF(BH11=0,0,-'Resultado Financeiro e Dívida'!BH12*1000)</f>
        <v>-5841.6602072513424</v>
      </c>
      <c r="BI48" s="51">
        <f ca="1">IF(BI11=0,0,-'Resultado Financeiro e Dívida'!BI12*1000)</f>
        <v>-5602.700421848408</v>
      </c>
      <c r="BJ48" s="51">
        <f ca="1">IF(BJ11=0,0,-'Resultado Financeiro e Dívida'!BJ12*1000)</f>
        <v>0</v>
      </c>
      <c r="BK48" s="51">
        <f ca="1">IF(BK11=0,0,-'Resultado Financeiro e Dívida'!BK12*1000)</f>
        <v>0</v>
      </c>
      <c r="BL48" s="51">
        <f ca="1">IF(BL11=0,0,-'Resultado Financeiro e Dívida'!BL12*1000)</f>
        <v>0</v>
      </c>
      <c r="BM48" s="51">
        <f ca="1">IF(BM11=0,0,-'Resultado Financeiro e Dívida'!BM12*1000)</f>
        <v>0</v>
      </c>
      <c r="BN48" s="51">
        <f ca="1">IF(BN11=0,0,-'Resultado Financeiro e Dívida'!BN12*1000)</f>
        <v>0</v>
      </c>
      <c r="BO48" s="51">
        <f ca="1">IF(BO11=0,0,-'Resultado Financeiro e Dívida'!BO12*1000)</f>
        <v>0</v>
      </c>
      <c r="BP48" s="51">
        <f ca="1">IF(BP11=0,0,-'Resultado Financeiro e Dívida'!BP12*1000)</f>
        <v>0</v>
      </c>
      <c r="BQ48" s="51">
        <f ca="1">IF(BQ11=0,0,-'Resultado Financeiro e Dívida'!BQ12*1000)</f>
        <v>0</v>
      </c>
      <c r="BR48" s="51">
        <f ca="1">IF(BR11=0,0,-'Resultado Financeiro e Dívida'!BR12*1000)</f>
        <v>0</v>
      </c>
      <c r="BS48" s="51">
        <f ca="1">IF(BS11=0,0,-'Resultado Financeiro e Dívida'!BS12*1000)</f>
        <v>0</v>
      </c>
      <c r="BT48" s="51">
        <f ca="1">IF(BT11=0,0,-'Resultado Financeiro e Dívida'!BT12*1000)</f>
        <v>0</v>
      </c>
      <c r="BU48" s="51">
        <f ca="1">IF(BU11=0,0,-'Resultado Financeiro e Dívida'!BU12*1000)</f>
        <v>0</v>
      </c>
      <c r="BV48" s="51">
        <f ca="1">IF(BV11=0,0,-'Resultado Financeiro e Dívida'!BV12*1000)</f>
        <v>0</v>
      </c>
      <c r="BW48" s="51">
        <f ca="1">IF(BW11=0,0,-'Resultado Financeiro e Dívida'!BW12*1000)</f>
        <v>0</v>
      </c>
    </row>
    <row r="49" spans="1:75" x14ac:dyDescent="0.3">
      <c r="A49" s="38" t="s">
        <v>197</v>
      </c>
      <c r="B49" s="38"/>
      <c r="C49" s="48">
        <f>C44+C45</f>
        <v>2378</v>
      </c>
      <c r="D49" s="48">
        <f>D44+D45</f>
        <v>72077</v>
      </c>
      <c r="E49" s="48">
        <f>E44+E45</f>
        <v>95115</v>
      </c>
      <c r="F49" s="48">
        <f>F44+F45</f>
        <v>51600</v>
      </c>
      <c r="G49" s="48">
        <f t="shared" si="23"/>
        <v>221170</v>
      </c>
      <c r="H49" s="48">
        <f>H44+H45</f>
        <v>-118923</v>
      </c>
      <c r="I49" s="48">
        <f>I44+I45</f>
        <v>201228</v>
      </c>
      <c r="J49" s="48">
        <f>J44+J45</f>
        <v>-171189</v>
      </c>
      <c r="K49" s="48">
        <f>K44+K45</f>
        <v>629886</v>
      </c>
      <c r="L49" s="48">
        <f t="shared" si="30"/>
        <v>541002</v>
      </c>
      <c r="M49" s="48">
        <f>M44+M45</f>
        <v>-52571</v>
      </c>
      <c r="N49" s="48">
        <f>N44+N45</f>
        <v>-122754</v>
      </c>
      <c r="O49" s="48">
        <f>O44+O45</f>
        <v>-74158</v>
      </c>
      <c r="P49" s="48">
        <f>P44+P45</f>
        <v>733563</v>
      </c>
      <c r="Q49" s="48">
        <f t="shared" si="24"/>
        <v>484080</v>
      </c>
      <c r="R49" s="48">
        <f>R44+R45</f>
        <v>-45275</v>
      </c>
      <c r="S49" s="48">
        <f>S44+S45</f>
        <v>561841</v>
      </c>
      <c r="T49" s="48">
        <f>T44+T45</f>
        <v>167421</v>
      </c>
      <c r="U49" s="48">
        <f>U44+U45</f>
        <v>815134</v>
      </c>
      <c r="V49" s="48">
        <f t="shared" si="25"/>
        <v>1499121</v>
      </c>
      <c r="W49" s="48">
        <f>W44+W45</f>
        <v>905243</v>
      </c>
      <c r="X49" s="48">
        <f>X44+X45</f>
        <v>949572</v>
      </c>
      <c r="Y49" s="48">
        <f>Y44+Y45</f>
        <v>1246394</v>
      </c>
      <c r="Z49" s="48">
        <f>Z44+Z45</f>
        <v>560611</v>
      </c>
      <c r="AA49" s="48">
        <f t="shared" si="26"/>
        <v>3661820</v>
      </c>
      <c r="AB49" s="48">
        <f t="shared" ref="AB49:BW49" si="39">AB44+AB45</f>
        <v>1255553</v>
      </c>
      <c r="AC49" s="48">
        <f t="shared" si="39"/>
        <v>840135</v>
      </c>
      <c r="AD49" s="48">
        <f t="shared" si="39"/>
        <v>2120227</v>
      </c>
      <c r="AE49" s="48">
        <f t="shared" si="39"/>
        <v>1888757</v>
      </c>
      <c r="AF49" s="48">
        <f t="shared" si="39"/>
        <v>6104672</v>
      </c>
      <c r="AG49" s="48">
        <f t="shared" ca="1" si="39"/>
        <v>9878796.3176321294</v>
      </c>
      <c r="AH49" s="48">
        <f t="shared" ca="1" si="39"/>
        <v>12895092.993264711</v>
      </c>
      <c r="AI49" s="48">
        <f t="shared" ca="1" si="39"/>
        <v>12462743.587119285</v>
      </c>
      <c r="AJ49" s="48">
        <f t="shared" ca="1" si="39"/>
        <v>12431237.226200519</v>
      </c>
      <c r="AK49" s="48">
        <f t="shared" ca="1" si="39"/>
        <v>11364725.835786756</v>
      </c>
      <c r="AL49" s="48">
        <f t="shared" ca="1" si="39"/>
        <v>11364774.052014226</v>
      </c>
      <c r="AM49" s="48">
        <f t="shared" ca="1" si="39"/>
        <v>10319798.54381787</v>
      </c>
      <c r="AN49" s="48">
        <f t="shared" ca="1" si="39"/>
        <v>8805766.650524877</v>
      </c>
      <c r="AO49" s="48">
        <f t="shared" ca="1" si="39"/>
        <v>7829294.9998102402</v>
      </c>
      <c r="AP49" s="48">
        <f t="shared" ca="1" si="39"/>
        <v>6796499.082150274</v>
      </c>
      <c r="AQ49" s="48">
        <f t="shared" ca="1" si="39"/>
        <v>6143458.1471871026</v>
      </c>
      <c r="AR49" s="48">
        <f t="shared" ca="1" si="39"/>
        <v>5412719.2017512936</v>
      </c>
      <c r="AS49" s="48">
        <f t="shared" ca="1" si="39"/>
        <v>4646019.9733140944</v>
      </c>
      <c r="AT49" s="48">
        <f t="shared" ca="1" si="39"/>
        <v>3957325.3738123043</v>
      </c>
      <c r="AU49" s="48">
        <f t="shared" ca="1" si="39"/>
        <v>3595311.928917842</v>
      </c>
      <c r="AV49" s="48">
        <f t="shared" ca="1" si="39"/>
        <v>3417931.458778806</v>
      </c>
      <c r="AW49" s="48">
        <f t="shared" ca="1" si="39"/>
        <v>2753341.5327178752</v>
      </c>
      <c r="AX49" s="48">
        <f t="shared" ca="1" si="39"/>
        <v>2494258.343659949</v>
      </c>
      <c r="AY49" s="48">
        <f t="shared" ca="1" si="39"/>
        <v>2274479.9188391617</v>
      </c>
      <c r="AZ49" s="48">
        <f t="shared" ca="1" si="39"/>
        <v>2053446.0626660686</v>
      </c>
      <c r="BA49" s="48">
        <f t="shared" ca="1" si="39"/>
        <v>1889652.6188306531</v>
      </c>
      <c r="BB49" s="48">
        <f t="shared" ca="1" si="39"/>
        <v>1678467.4295509099</v>
      </c>
      <c r="BC49" s="48">
        <f t="shared" ca="1" si="39"/>
        <v>1550350.8936523311</v>
      </c>
      <c r="BD49" s="48">
        <f t="shared" ca="1" si="39"/>
        <v>1438490.0363677363</v>
      </c>
      <c r="BE49" s="48">
        <f t="shared" ca="1" si="39"/>
        <v>1356334.8018592016</v>
      </c>
      <c r="BF49" s="48">
        <f t="shared" ca="1" si="39"/>
        <v>1159651.8368813973</v>
      </c>
      <c r="BG49" s="48">
        <f t="shared" ca="1" si="39"/>
        <v>965078.08280598826</v>
      </c>
      <c r="BH49" s="48">
        <f t="shared" ca="1" si="39"/>
        <v>1182061.1083720187</v>
      </c>
      <c r="BI49" s="48">
        <f t="shared" ca="1" si="39"/>
        <v>1176574.2955636384</v>
      </c>
      <c r="BJ49" s="48">
        <f t="shared" ca="1" si="39"/>
        <v>0</v>
      </c>
      <c r="BK49" s="48">
        <f t="shared" ca="1" si="39"/>
        <v>0</v>
      </c>
      <c r="BL49" s="48">
        <f t="shared" ca="1" si="39"/>
        <v>0</v>
      </c>
      <c r="BM49" s="48">
        <f t="shared" ca="1" si="39"/>
        <v>0</v>
      </c>
      <c r="BN49" s="48">
        <f t="shared" ca="1" si="39"/>
        <v>0</v>
      </c>
      <c r="BO49" s="48">
        <f t="shared" ca="1" si="39"/>
        <v>0</v>
      </c>
      <c r="BP49" s="48">
        <f t="shared" ca="1" si="39"/>
        <v>0</v>
      </c>
      <c r="BQ49" s="48">
        <f t="shared" ca="1" si="39"/>
        <v>0</v>
      </c>
      <c r="BR49" s="48">
        <f t="shared" ca="1" si="39"/>
        <v>0</v>
      </c>
      <c r="BS49" s="48">
        <f t="shared" ca="1" si="39"/>
        <v>0</v>
      </c>
      <c r="BT49" s="48">
        <f t="shared" ca="1" si="39"/>
        <v>0</v>
      </c>
      <c r="BU49" s="48">
        <f t="shared" ca="1" si="39"/>
        <v>0</v>
      </c>
      <c r="BV49" s="48">
        <f t="shared" ca="1" si="39"/>
        <v>0</v>
      </c>
      <c r="BW49" s="48">
        <f t="shared" ca="1" si="39"/>
        <v>0</v>
      </c>
    </row>
    <row r="50" spans="1:75" x14ac:dyDescent="0.3">
      <c r="A50" s="38" t="s">
        <v>523</v>
      </c>
      <c r="B50" s="93">
        <v>0.34</v>
      </c>
      <c r="C50" s="93">
        <f t="shared" ref="C50:AH50" si="40">B50</f>
        <v>0.34</v>
      </c>
      <c r="D50" s="93">
        <f t="shared" si="40"/>
        <v>0.34</v>
      </c>
      <c r="E50" s="93">
        <f t="shared" si="40"/>
        <v>0.34</v>
      </c>
      <c r="F50" s="93">
        <f t="shared" si="40"/>
        <v>0.34</v>
      </c>
      <c r="G50" s="93">
        <f t="shared" si="40"/>
        <v>0.34</v>
      </c>
      <c r="H50" s="93">
        <f t="shared" si="40"/>
        <v>0.34</v>
      </c>
      <c r="I50" s="93">
        <f t="shared" si="40"/>
        <v>0.34</v>
      </c>
      <c r="J50" s="93">
        <f t="shared" si="40"/>
        <v>0.34</v>
      </c>
      <c r="K50" s="93">
        <f t="shared" si="40"/>
        <v>0.34</v>
      </c>
      <c r="L50" s="93">
        <f t="shared" si="40"/>
        <v>0.34</v>
      </c>
      <c r="M50" s="93">
        <f t="shared" si="40"/>
        <v>0.34</v>
      </c>
      <c r="N50" s="93">
        <f t="shared" si="40"/>
        <v>0.34</v>
      </c>
      <c r="O50" s="93">
        <f t="shared" si="40"/>
        <v>0.34</v>
      </c>
      <c r="P50" s="93">
        <f t="shared" si="40"/>
        <v>0.34</v>
      </c>
      <c r="Q50" s="93">
        <f t="shared" si="40"/>
        <v>0.34</v>
      </c>
      <c r="R50" s="93">
        <f t="shared" si="40"/>
        <v>0.34</v>
      </c>
      <c r="S50" s="93">
        <f t="shared" si="40"/>
        <v>0.34</v>
      </c>
      <c r="T50" s="93">
        <f t="shared" si="40"/>
        <v>0.34</v>
      </c>
      <c r="U50" s="93">
        <f t="shared" si="40"/>
        <v>0.34</v>
      </c>
      <c r="V50" s="93">
        <f t="shared" si="40"/>
        <v>0.34</v>
      </c>
      <c r="W50" s="93">
        <f t="shared" si="40"/>
        <v>0.34</v>
      </c>
      <c r="X50" s="93">
        <f t="shared" si="40"/>
        <v>0.34</v>
      </c>
      <c r="Y50" s="93">
        <f t="shared" si="40"/>
        <v>0.34</v>
      </c>
      <c r="Z50" s="93">
        <f t="shared" si="40"/>
        <v>0.34</v>
      </c>
      <c r="AA50" s="93">
        <f t="shared" si="40"/>
        <v>0.34</v>
      </c>
      <c r="AB50" s="93">
        <f t="shared" si="40"/>
        <v>0.34</v>
      </c>
      <c r="AC50" s="93">
        <f t="shared" si="40"/>
        <v>0.34</v>
      </c>
      <c r="AD50" s="93">
        <f t="shared" si="40"/>
        <v>0.34</v>
      </c>
      <c r="AE50" s="93">
        <v>0.34</v>
      </c>
      <c r="AF50" s="93">
        <v>0.34</v>
      </c>
      <c r="AG50" s="93">
        <f t="shared" si="40"/>
        <v>0.34</v>
      </c>
      <c r="AH50" s="93">
        <f t="shared" si="40"/>
        <v>0.34</v>
      </c>
      <c r="AI50" s="93">
        <f t="shared" ref="AI50:BL50" si="41">AH50</f>
        <v>0.34</v>
      </c>
      <c r="AJ50" s="93">
        <f t="shared" si="41"/>
        <v>0.34</v>
      </c>
      <c r="AK50" s="93">
        <f t="shared" si="41"/>
        <v>0.34</v>
      </c>
      <c r="AL50" s="93">
        <f t="shared" si="41"/>
        <v>0.34</v>
      </c>
      <c r="AM50" s="93">
        <f t="shared" si="41"/>
        <v>0.34</v>
      </c>
      <c r="AN50" s="93">
        <f t="shared" si="41"/>
        <v>0.34</v>
      </c>
      <c r="AO50" s="93">
        <f t="shared" si="41"/>
        <v>0.34</v>
      </c>
      <c r="AP50" s="93">
        <f t="shared" si="41"/>
        <v>0.34</v>
      </c>
      <c r="AQ50" s="93">
        <f t="shared" si="41"/>
        <v>0.34</v>
      </c>
      <c r="AR50" s="93">
        <f t="shared" si="41"/>
        <v>0.34</v>
      </c>
      <c r="AS50" s="93">
        <f t="shared" si="41"/>
        <v>0.34</v>
      </c>
      <c r="AT50" s="93">
        <f t="shared" si="41"/>
        <v>0.34</v>
      </c>
      <c r="AU50" s="93">
        <f t="shared" si="41"/>
        <v>0.34</v>
      </c>
      <c r="AV50" s="93">
        <f t="shared" si="41"/>
        <v>0.34</v>
      </c>
      <c r="AW50" s="93">
        <f t="shared" si="41"/>
        <v>0.34</v>
      </c>
      <c r="AX50" s="93">
        <f t="shared" si="41"/>
        <v>0.34</v>
      </c>
      <c r="AY50" s="93">
        <f t="shared" si="41"/>
        <v>0.34</v>
      </c>
      <c r="AZ50" s="93">
        <f t="shared" si="41"/>
        <v>0.34</v>
      </c>
      <c r="BA50" s="93">
        <f t="shared" si="41"/>
        <v>0.34</v>
      </c>
      <c r="BB50" s="93">
        <f t="shared" si="41"/>
        <v>0.34</v>
      </c>
      <c r="BC50" s="93">
        <f t="shared" si="41"/>
        <v>0.34</v>
      </c>
      <c r="BD50" s="93">
        <f t="shared" si="41"/>
        <v>0.34</v>
      </c>
      <c r="BE50" s="93">
        <f t="shared" si="41"/>
        <v>0.34</v>
      </c>
      <c r="BF50" s="93">
        <f t="shared" si="41"/>
        <v>0.34</v>
      </c>
      <c r="BG50" s="93">
        <f t="shared" si="41"/>
        <v>0.34</v>
      </c>
      <c r="BH50" s="93">
        <f t="shared" si="41"/>
        <v>0.34</v>
      </c>
      <c r="BI50" s="93">
        <f t="shared" si="41"/>
        <v>0.34</v>
      </c>
      <c r="BJ50" s="93">
        <f t="shared" si="41"/>
        <v>0.34</v>
      </c>
      <c r="BK50" s="93">
        <f t="shared" si="41"/>
        <v>0.34</v>
      </c>
      <c r="BL50" s="93">
        <f t="shared" si="41"/>
        <v>0.34</v>
      </c>
      <c r="BM50" s="93">
        <f t="shared" ref="BM50:BW50" si="42">BL50</f>
        <v>0.34</v>
      </c>
      <c r="BN50" s="93">
        <f t="shared" si="42"/>
        <v>0.34</v>
      </c>
      <c r="BO50" s="93">
        <f t="shared" si="42"/>
        <v>0.34</v>
      </c>
      <c r="BP50" s="93">
        <f t="shared" si="42"/>
        <v>0.34</v>
      </c>
      <c r="BQ50" s="93">
        <f t="shared" si="42"/>
        <v>0.34</v>
      </c>
      <c r="BR50" s="93">
        <f t="shared" si="42"/>
        <v>0.34</v>
      </c>
      <c r="BS50" s="93">
        <f t="shared" si="42"/>
        <v>0.34</v>
      </c>
      <c r="BT50" s="93">
        <f t="shared" si="42"/>
        <v>0.34</v>
      </c>
      <c r="BU50" s="93">
        <f t="shared" si="42"/>
        <v>0.34</v>
      </c>
      <c r="BV50" s="93">
        <f t="shared" si="42"/>
        <v>0.34</v>
      </c>
      <c r="BW50" s="93">
        <f t="shared" si="42"/>
        <v>0.34</v>
      </c>
    </row>
    <row r="51" spans="1:75" x14ac:dyDescent="0.3">
      <c r="A51" s="38" t="s">
        <v>524</v>
      </c>
      <c r="C51" s="94">
        <f t="shared" ref="C51:AH51" si="43">-C52/C49</f>
        <v>-0.13288477712363331</v>
      </c>
      <c r="D51" s="94">
        <f t="shared" si="43"/>
        <v>4.5229407439266343E-3</v>
      </c>
      <c r="E51" s="94">
        <f t="shared" si="43"/>
        <v>0.27076696630394786</v>
      </c>
      <c r="F51" s="94">
        <f t="shared" si="43"/>
        <v>0.10513565891472869</v>
      </c>
      <c r="G51" s="94">
        <f t="shared" si="43"/>
        <v>0.14101822127775016</v>
      </c>
      <c r="H51" s="94">
        <f t="shared" si="43"/>
        <v>1.4554543696341331</v>
      </c>
      <c r="I51" s="94">
        <f t="shared" si="43"/>
        <v>0.17734112548949452</v>
      </c>
      <c r="J51" s="94">
        <f t="shared" si="43"/>
        <v>-4.211719210930609E-3</v>
      </c>
      <c r="K51" s="94">
        <f t="shared" si="43"/>
        <v>-0.26141873291357481</v>
      </c>
      <c r="L51" s="94">
        <f t="shared" si="43"/>
        <v>-0.55701087981190456</v>
      </c>
      <c r="M51" s="94">
        <f t="shared" si="43"/>
        <v>-0.16910463943999543</v>
      </c>
      <c r="N51" s="94">
        <f t="shared" si="43"/>
        <v>0.18697557717060137</v>
      </c>
      <c r="O51" s="94">
        <f t="shared" si="43"/>
        <v>-0.4913832627632892</v>
      </c>
      <c r="P51" s="94">
        <f t="shared" si="43"/>
        <v>1.1981247691064026E-2</v>
      </c>
      <c r="Q51" s="94">
        <f t="shared" si="43"/>
        <v>6.4383986117997019E-2</v>
      </c>
      <c r="R51" s="94">
        <f t="shared" si="43"/>
        <v>-0.45316399779127553</v>
      </c>
      <c r="S51" s="94">
        <f t="shared" si="43"/>
        <v>0.25085210940461805</v>
      </c>
      <c r="T51" s="94">
        <f t="shared" si="43"/>
        <v>0.42000107513394375</v>
      </c>
      <c r="U51" s="94">
        <f t="shared" si="43"/>
        <v>-8.059779128339635E-2</v>
      </c>
      <c r="V51" s="94">
        <f t="shared" si="43"/>
        <v>0.11078158467528638</v>
      </c>
      <c r="W51" s="94">
        <f t="shared" si="43"/>
        <v>-0.18086524833663448</v>
      </c>
      <c r="X51" s="94">
        <f t="shared" si="43"/>
        <v>0.2018435674177419</v>
      </c>
      <c r="Y51" s="94">
        <f t="shared" si="43"/>
        <v>0.36431497584230987</v>
      </c>
      <c r="Z51" s="94">
        <f t="shared" si="43"/>
        <v>-0.44107233001136259</v>
      </c>
      <c r="AA51" s="94">
        <f t="shared" si="43"/>
        <v>6.4106919509970453E-2</v>
      </c>
      <c r="AB51" s="94">
        <f t="shared" si="43"/>
        <v>7.4459620581528621E-2</v>
      </c>
      <c r="AC51" s="94">
        <f t="shared" si="43"/>
        <v>-9.9269760217107956E-4</v>
      </c>
      <c r="AD51" s="94">
        <f>-AD52/AD49</f>
        <v>0.23176905114405202</v>
      </c>
      <c r="AE51" s="94">
        <f>-AE52/AE49</f>
        <v>0.18038847771312033</v>
      </c>
      <c r="AF51" s="94">
        <f>-AF52/AF49</f>
        <v>0.15148512483553581</v>
      </c>
      <c r="AG51" s="94">
        <f t="shared" ca="1" si="43"/>
        <v>0.34</v>
      </c>
      <c r="AH51" s="94">
        <f t="shared" ca="1" si="43"/>
        <v>0.34</v>
      </c>
      <c r="AI51" s="94">
        <f t="shared" ref="AI51:BL51" ca="1" si="44">-AI52/AI49</f>
        <v>0.34</v>
      </c>
      <c r="AJ51" s="94">
        <f t="shared" ca="1" si="44"/>
        <v>0.34</v>
      </c>
      <c r="AK51" s="94">
        <f t="shared" ca="1" si="44"/>
        <v>0.34</v>
      </c>
      <c r="AL51" s="94">
        <f t="shared" ca="1" si="44"/>
        <v>0.34</v>
      </c>
      <c r="AM51" s="94">
        <f t="shared" ca="1" si="44"/>
        <v>0.34</v>
      </c>
      <c r="AN51" s="94">
        <f t="shared" ca="1" si="44"/>
        <v>0.34</v>
      </c>
      <c r="AO51" s="94">
        <f t="shared" ca="1" si="44"/>
        <v>0.34</v>
      </c>
      <c r="AP51" s="94">
        <f t="shared" ca="1" si="44"/>
        <v>0.34</v>
      </c>
      <c r="AQ51" s="94">
        <f t="shared" ca="1" si="44"/>
        <v>0.34</v>
      </c>
      <c r="AR51" s="94">
        <f t="shared" ca="1" si="44"/>
        <v>0.34</v>
      </c>
      <c r="AS51" s="94">
        <f t="shared" ca="1" si="44"/>
        <v>0.34</v>
      </c>
      <c r="AT51" s="94">
        <f t="shared" ca="1" si="44"/>
        <v>0.34</v>
      </c>
      <c r="AU51" s="94">
        <f t="shared" ca="1" si="44"/>
        <v>0.34</v>
      </c>
      <c r="AV51" s="94">
        <f t="shared" ca="1" si="44"/>
        <v>0.34</v>
      </c>
      <c r="AW51" s="94">
        <f t="shared" ca="1" si="44"/>
        <v>0.34</v>
      </c>
      <c r="AX51" s="94">
        <f t="shared" ca="1" si="44"/>
        <v>0.34</v>
      </c>
      <c r="AY51" s="94">
        <f t="shared" ca="1" si="44"/>
        <v>0.34</v>
      </c>
      <c r="AZ51" s="94">
        <f t="shared" ca="1" si="44"/>
        <v>0.34</v>
      </c>
      <c r="BA51" s="94">
        <f t="shared" ca="1" si="44"/>
        <v>0.34000000000000008</v>
      </c>
      <c r="BB51" s="94">
        <f t="shared" ca="1" si="44"/>
        <v>0.34</v>
      </c>
      <c r="BC51" s="94">
        <f t="shared" ca="1" si="44"/>
        <v>0.34</v>
      </c>
      <c r="BD51" s="94">
        <f t="shared" ca="1" si="44"/>
        <v>0.34</v>
      </c>
      <c r="BE51" s="94">
        <f t="shared" ca="1" si="44"/>
        <v>0.34</v>
      </c>
      <c r="BF51" s="94">
        <f t="shared" ca="1" si="44"/>
        <v>0.34</v>
      </c>
      <c r="BG51" s="94">
        <f t="shared" ca="1" si="44"/>
        <v>0.34</v>
      </c>
      <c r="BH51" s="94">
        <f t="shared" ca="1" si="44"/>
        <v>0.34</v>
      </c>
      <c r="BI51" s="94">
        <f t="shared" ca="1" si="44"/>
        <v>0.34</v>
      </c>
      <c r="BJ51" s="94" t="e">
        <f t="shared" ca="1" si="44"/>
        <v>#DIV/0!</v>
      </c>
      <c r="BK51" s="94" t="e">
        <f t="shared" ca="1" si="44"/>
        <v>#DIV/0!</v>
      </c>
      <c r="BL51" s="94" t="e">
        <f t="shared" ca="1" si="44"/>
        <v>#DIV/0!</v>
      </c>
      <c r="BM51" s="94" t="e">
        <f ca="1">-BM52/BM49</f>
        <v>#DIV/0!</v>
      </c>
      <c r="BN51" s="94" t="e">
        <f ca="1">-BN52/BN49</f>
        <v>#DIV/0!</v>
      </c>
      <c r="BO51" s="94" t="e">
        <f ca="1">-BO52/BO49</f>
        <v>#DIV/0!</v>
      </c>
      <c r="BP51" s="94" t="e">
        <f ca="1">-BP52/BP49</f>
        <v>#DIV/0!</v>
      </c>
      <c r="BQ51" s="94" t="e">
        <f ca="1">-BQ52/BQ49</f>
        <v>#DIV/0!</v>
      </c>
      <c r="BR51" s="94" t="e">
        <f t="shared" ref="BR51:BW51" ca="1" si="45">-BR52/BR49</f>
        <v>#DIV/0!</v>
      </c>
      <c r="BS51" s="94" t="e">
        <f t="shared" ca="1" si="45"/>
        <v>#DIV/0!</v>
      </c>
      <c r="BT51" s="94" t="e">
        <f t="shared" ca="1" si="45"/>
        <v>#DIV/0!</v>
      </c>
      <c r="BU51" s="94" t="e">
        <f t="shared" ca="1" si="45"/>
        <v>#DIV/0!</v>
      </c>
      <c r="BV51" s="94" t="e">
        <f t="shared" ca="1" si="45"/>
        <v>#DIV/0!</v>
      </c>
      <c r="BW51" s="94" t="e">
        <f t="shared" ca="1" si="45"/>
        <v>#DIV/0!</v>
      </c>
    </row>
    <row r="52" spans="1:75" x14ac:dyDescent="0.3">
      <c r="A52" s="1" t="s">
        <v>198</v>
      </c>
      <c r="C52" s="52">
        <f>C53+C54</f>
        <v>316</v>
      </c>
      <c r="D52" s="52">
        <f>D53+D54</f>
        <v>-326</v>
      </c>
      <c r="E52" s="52">
        <f>E53+E54</f>
        <v>-25754</v>
      </c>
      <c r="F52" s="52">
        <f>F53+F54</f>
        <v>-5425</v>
      </c>
      <c r="G52" s="48">
        <f t="shared" ref="G52:G61" si="46">SUM(C52:F52)</f>
        <v>-31189</v>
      </c>
      <c r="H52" s="52">
        <f>H53+H54</f>
        <v>173087</v>
      </c>
      <c r="I52" s="52">
        <f>I53+I54</f>
        <v>-35686</v>
      </c>
      <c r="J52" s="52">
        <f>J53+J54</f>
        <v>-721</v>
      </c>
      <c r="K52" s="52">
        <f>K53+K54</f>
        <v>164664</v>
      </c>
      <c r="L52" s="48">
        <f t="shared" ref="L52:L61" si="47">SUM(H52:K52)</f>
        <v>301344</v>
      </c>
      <c r="M52" s="52">
        <f>M53+M54</f>
        <v>-8890</v>
      </c>
      <c r="N52" s="52">
        <f>N53+N54</f>
        <v>22952</v>
      </c>
      <c r="O52" s="52">
        <f>O53+O54</f>
        <v>-36440</v>
      </c>
      <c r="P52" s="52">
        <f>P53+P54</f>
        <v>-8789</v>
      </c>
      <c r="Q52" s="48">
        <f t="shared" ref="Q52:Q61" si="48">SUM(M52:P52)</f>
        <v>-31167</v>
      </c>
      <c r="R52" s="52">
        <f>R53+R54</f>
        <v>-20517</v>
      </c>
      <c r="S52" s="52">
        <f>S53+S54</f>
        <v>-140939</v>
      </c>
      <c r="T52" s="52">
        <f>T53+T54</f>
        <v>-70317</v>
      </c>
      <c r="U52" s="52">
        <f>U53+U54</f>
        <v>65698</v>
      </c>
      <c r="V52" s="48">
        <f t="shared" ref="V52:V61" si="49">SUM(R52:U52)</f>
        <v>-166075</v>
      </c>
      <c r="W52" s="52">
        <f>W53+W54</f>
        <v>163727</v>
      </c>
      <c r="X52" s="52">
        <f>X53+X54</f>
        <v>-191665</v>
      </c>
      <c r="Y52" s="52">
        <f>Y53+Y54</f>
        <v>-454080</v>
      </c>
      <c r="Z52" s="52">
        <f>Z53+Z54</f>
        <v>247270</v>
      </c>
      <c r="AA52" s="48">
        <f t="shared" ref="AA52:AA61" si="50">SUM(W52:Z52)</f>
        <v>-234748</v>
      </c>
      <c r="AB52" s="52">
        <f>AB53+AB54</f>
        <v>-93488</v>
      </c>
      <c r="AC52" s="52">
        <f>AC53+AC54</f>
        <v>834</v>
      </c>
      <c r="AD52" s="52">
        <f>AD53+AD54</f>
        <v>-491403</v>
      </c>
      <c r="AE52" s="52">
        <f>AE53+AE54</f>
        <v>-340710</v>
      </c>
      <c r="AF52" s="52">
        <f>AF53+AF54</f>
        <v>-924767</v>
      </c>
      <c r="AG52" s="52">
        <f t="shared" ref="AG52:BL52" ca="1" si="51">-AG49*AG50</f>
        <v>-3358790.7479949244</v>
      </c>
      <c r="AH52" s="52">
        <f t="shared" ca="1" si="51"/>
        <v>-4384331.6177100018</v>
      </c>
      <c r="AI52" s="52">
        <f t="shared" ca="1" si="51"/>
        <v>-4237332.8196205571</v>
      </c>
      <c r="AJ52" s="52">
        <f t="shared" ca="1" si="51"/>
        <v>-4226620.6569081768</v>
      </c>
      <c r="AK52" s="52">
        <f t="shared" ca="1" si="51"/>
        <v>-3864006.7841674974</v>
      </c>
      <c r="AL52" s="52">
        <f t="shared" ca="1" si="51"/>
        <v>-3864023.177684837</v>
      </c>
      <c r="AM52" s="52">
        <f t="shared" ca="1" si="51"/>
        <v>-3508731.5048980759</v>
      </c>
      <c r="AN52" s="52">
        <f t="shared" ca="1" si="51"/>
        <v>-2993960.6611784585</v>
      </c>
      <c r="AO52" s="52">
        <f t="shared" ca="1" si="51"/>
        <v>-2661960.299935482</v>
      </c>
      <c r="AP52" s="52">
        <f t="shared" ca="1" si="51"/>
        <v>-2310809.6879310934</v>
      </c>
      <c r="AQ52" s="52">
        <f t="shared" ca="1" si="51"/>
        <v>-2088775.770043615</v>
      </c>
      <c r="AR52" s="52">
        <f t="shared" ca="1" si="51"/>
        <v>-1840324.5285954399</v>
      </c>
      <c r="AS52" s="52">
        <f t="shared" ca="1" si="51"/>
        <v>-1579646.7909267922</v>
      </c>
      <c r="AT52" s="52">
        <f t="shared" ca="1" si="51"/>
        <v>-1345490.6270961836</v>
      </c>
      <c r="AU52" s="52">
        <f t="shared" ca="1" si="51"/>
        <v>-1222406.0558320663</v>
      </c>
      <c r="AV52" s="52">
        <f t="shared" ca="1" si="51"/>
        <v>-1162096.6959847941</v>
      </c>
      <c r="AW52" s="52">
        <f t="shared" ca="1" si="51"/>
        <v>-936136.12112407759</v>
      </c>
      <c r="AX52" s="52">
        <f t="shared" ca="1" si="51"/>
        <v>-848047.83684438269</v>
      </c>
      <c r="AY52" s="52">
        <f t="shared" ca="1" si="51"/>
        <v>-773323.1724053151</v>
      </c>
      <c r="AZ52" s="52">
        <f t="shared" ca="1" si="51"/>
        <v>-698171.66130646341</v>
      </c>
      <c r="BA52" s="52">
        <f t="shared" ca="1" si="51"/>
        <v>-642481.89040242217</v>
      </c>
      <c r="BB52" s="52">
        <f t="shared" ca="1" si="51"/>
        <v>-570678.92604730942</v>
      </c>
      <c r="BC52" s="52">
        <f t="shared" ca="1" si="51"/>
        <v>-527119.30384179263</v>
      </c>
      <c r="BD52" s="52">
        <f t="shared" ca="1" si="51"/>
        <v>-489086.61236503039</v>
      </c>
      <c r="BE52" s="52">
        <f t="shared" ca="1" si="51"/>
        <v>-461153.83263212861</v>
      </c>
      <c r="BF52" s="52">
        <f t="shared" ca="1" si="51"/>
        <v>-394281.62453967513</v>
      </c>
      <c r="BG52" s="52">
        <f t="shared" ca="1" si="51"/>
        <v>-328126.54815403605</v>
      </c>
      <c r="BH52" s="52">
        <f t="shared" ca="1" si="51"/>
        <v>-401900.77684648638</v>
      </c>
      <c r="BI52" s="52">
        <f t="shared" ca="1" si="51"/>
        <v>-400035.26049163711</v>
      </c>
      <c r="BJ52" s="52">
        <f t="shared" ca="1" si="51"/>
        <v>0</v>
      </c>
      <c r="BK52" s="52">
        <f t="shared" ca="1" si="51"/>
        <v>0</v>
      </c>
      <c r="BL52" s="52">
        <f t="shared" ca="1" si="51"/>
        <v>0</v>
      </c>
      <c r="BM52" s="52">
        <f ca="1">-BM49*BM50</f>
        <v>0</v>
      </c>
      <c r="BN52" s="52">
        <f ca="1">-BN49*BN50</f>
        <v>0</v>
      </c>
      <c r="BO52" s="52">
        <f ca="1">-BO49*BO50</f>
        <v>0</v>
      </c>
      <c r="BP52" s="52">
        <f ca="1">-BP49*BP50</f>
        <v>0</v>
      </c>
      <c r="BQ52" s="52">
        <f ca="1">-BQ49*BQ50</f>
        <v>0</v>
      </c>
      <c r="BR52" s="52">
        <f t="shared" ref="BR52:BW52" ca="1" si="52">-BR49*BR50</f>
        <v>0</v>
      </c>
      <c r="BS52" s="52">
        <f t="shared" ca="1" si="52"/>
        <v>0</v>
      </c>
      <c r="BT52" s="52">
        <f t="shared" ca="1" si="52"/>
        <v>0</v>
      </c>
      <c r="BU52" s="52">
        <f t="shared" ca="1" si="52"/>
        <v>0</v>
      </c>
      <c r="BV52" s="52">
        <f t="shared" ca="1" si="52"/>
        <v>0</v>
      </c>
      <c r="BW52" s="52">
        <f t="shared" ca="1" si="52"/>
        <v>0</v>
      </c>
    </row>
    <row r="53" spans="1:75" x14ac:dyDescent="0.3">
      <c r="A53" s="42" t="s">
        <v>199</v>
      </c>
      <c r="B53" s="42"/>
      <c r="C53" s="49">
        <v>-8975</v>
      </c>
      <c r="D53" s="49">
        <v>-1874</v>
      </c>
      <c r="E53" s="49">
        <v>-25633</v>
      </c>
      <c r="F53" s="49">
        <v>-6487</v>
      </c>
      <c r="G53" s="51">
        <f t="shared" si="46"/>
        <v>-42969</v>
      </c>
      <c r="H53" s="49">
        <v>-5398</v>
      </c>
      <c r="I53" s="49">
        <v>-36707</v>
      </c>
      <c r="J53" s="49">
        <v>-575</v>
      </c>
      <c r="K53" s="49">
        <v>-12978</v>
      </c>
      <c r="L53" s="51">
        <f t="shared" si="47"/>
        <v>-55658</v>
      </c>
      <c r="M53" s="49">
        <v>-12142</v>
      </c>
      <c r="N53" s="49">
        <v>-2633</v>
      </c>
      <c r="O53" s="49">
        <v>-9759</v>
      </c>
      <c r="P53" s="49">
        <v>-52606</v>
      </c>
      <c r="Q53" s="51">
        <f t="shared" si="48"/>
        <v>-77140</v>
      </c>
      <c r="R53" s="49">
        <v>-79573</v>
      </c>
      <c r="S53" s="49">
        <v>-59964</v>
      </c>
      <c r="T53" s="49">
        <v>-94553</v>
      </c>
      <c r="U53" s="49">
        <v>-110722</v>
      </c>
      <c r="V53" s="51">
        <f t="shared" si="49"/>
        <v>-344812</v>
      </c>
      <c r="W53" s="49">
        <v>-115251</v>
      </c>
      <c r="X53" s="49">
        <v>-197982</v>
      </c>
      <c r="Y53" s="49">
        <v>-255548</v>
      </c>
      <c r="Z53" s="49">
        <v>23321</v>
      </c>
      <c r="AA53" s="51">
        <f t="shared" si="50"/>
        <v>-545460</v>
      </c>
      <c r="AB53" s="49">
        <v>-124073</v>
      </c>
      <c r="AC53" s="49">
        <v>-108927</v>
      </c>
      <c r="AD53" s="49">
        <v>-187700</v>
      </c>
      <c r="AE53" s="49">
        <f>AF53-AD53-AC53-AB53</f>
        <v>-262941</v>
      </c>
      <c r="AF53" s="49">
        <v>-683641</v>
      </c>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row>
    <row r="54" spans="1:75" x14ac:dyDescent="0.3">
      <c r="A54" s="42" t="s">
        <v>200</v>
      </c>
      <c r="B54" s="42"/>
      <c r="C54" s="49">
        <v>9291</v>
      </c>
      <c r="D54" s="49">
        <v>1548</v>
      </c>
      <c r="E54" s="49">
        <v>-121</v>
      </c>
      <c r="F54" s="49">
        <v>1062</v>
      </c>
      <c r="G54" s="51">
        <f t="shared" si="46"/>
        <v>11780</v>
      </c>
      <c r="H54" s="49">
        <v>178485</v>
      </c>
      <c r="I54" s="49">
        <v>1021</v>
      </c>
      <c r="J54" s="49">
        <v>-146</v>
      </c>
      <c r="K54" s="49">
        <v>177642</v>
      </c>
      <c r="L54" s="51">
        <f t="shared" si="47"/>
        <v>357002</v>
      </c>
      <c r="M54" s="49">
        <v>3252</v>
      </c>
      <c r="N54" s="49">
        <v>25585</v>
      </c>
      <c r="O54" s="49">
        <v>-26681</v>
      </c>
      <c r="P54" s="49">
        <v>43817</v>
      </c>
      <c r="Q54" s="51">
        <f t="shared" si="48"/>
        <v>45973</v>
      </c>
      <c r="R54" s="49">
        <v>59056</v>
      </c>
      <c r="S54" s="49">
        <v>-80975</v>
      </c>
      <c r="T54" s="49">
        <v>24236</v>
      </c>
      <c r="U54" s="49">
        <v>176420</v>
      </c>
      <c r="V54" s="51">
        <f t="shared" si="49"/>
        <v>178737</v>
      </c>
      <c r="W54" s="49">
        <v>278978</v>
      </c>
      <c r="X54" s="49">
        <v>6317</v>
      </c>
      <c r="Y54" s="49">
        <v>-198532</v>
      </c>
      <c r="Z54" s="49">
        <v>223949</v>
      </c>
      <c r="AA54" s="51">
        <f t="shared" si="50"/>
        <v>310712</v>
      </c>
      <c r="AB54" s="49">
        <v>30585</v>
      </c>
      <c r="AC54" s="49">
        <v>109761</v>
      </c>
      <c r="AD54" s="49">
        <v>-303703</v>
      </c>
      <c r="AE54" s="49">
        <f>AF54-AD54-AC54-AB54</f>
        <v>-77769</v>
      </c>
      <c r="AF54" s="49">
        <v>-241126</v>
      </c>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row>
    <row r="55" spans="1:75" x14ac:dyDescent="0.3">
      <c r="A55" s="38" t="s">
        <v>201</v>
      </c>
      <c r="B55" s="38"/>
      <c r="C55" s="48">
        <f>C49+C52</f>
        <v>2694</v>
      </c>
      <c r="D55" s="48">
        <f>D49+D52</f>
        <v>71751</v>
      </c>
      <c r="E55" s="48">
        <f>E49+E52</f>
        <v>69361</v>
      </c>
      <c r="F55" s="48">
        <f>F49+F52</f>
        <v>46175</v>
      </c>
      <c r="G55" s="48">
        <f t="shared" si="46"/>
        <v>189981</v>
      </c>
      <c r="H55" s="48">
        <f>H49+H52</f>
        <v>54164</v>
      </c>
      <c r="I55" s="48">
        <f>I49+I52</f>
        <v>165542</v>
      </c>
      <c r="J55" s="48">
        <f>J49+J52</f>
        <v>-171910</v>
      </c>
      <c r="K55" s="48">
        <f>K49+K52</f>
        <v>794550</v>
      </c>
      <c r="L55" s="48">
        <f t="shared" si="47"/>
        <v>842346</v>
      </c>
      <c r="M55" s="48">
        <f>M49+M52</f>
        <v>-61461</v>
      </c>
      <c r="N55" s="48">
        <f>N49+N52</f>
        <v>-99802</v>
      </c>
      <c r="O55" s="48">
        <f>O49+O52</f>
        <v>-110598</v>
      </c>
      <c r="P55" s="48">
        <f>P49+P52</f>
        <v>724774</v>
      </c>
      <c r="Q55" s="48">
        <f t="shared" si="48"/>
        <v>452913</v>
      </c>
      <c r="R55" s="48">
        <f>R49+R52</f>
        <v>-65792</v>
      </c>
      <c r="S55" s="48">
        <f>S49+S52</f>
        <v>420902</v>
      </c>
      <c r="T55" s="48">
        <f>T49+T52</f>
        <v>97104</v>
      </c>
      <c r="U55" s="48">
        <f>U49+U52</f>
        <v>880832</v>
      </c>
      <c r="V55" s="48">
        <f t="shared" si="49"/>
        <v>1333046</v>
      </c>
      <c r="W55" s="48">
        <f>W49+W52</f>
        <v>1068970</v>
      </c>
      <c r="X55" s="48">
        <f>X49+X52</f>
        <v>757907</v>
      </c>
      <c r="Y55" s="48">
        <f>Y49+Y52</f>
        <v>792314</v>
      </c>
      <c r="Z55" s="48">
        <f>Z49+Z52</f>
        <v>807881</v>
      </c>
      <c r="AA55" s="48">
        <f t="shared" si="50"/>
        <v>3427072</v>
      </c>
      <c r="AB55" s="48">
        <f>AB49+AB52</f>
        <v>1162065</v>
      </c>
      <c r="AC55" s="48">
        <f t="shared" ref="AC55:BL55" si="53">AC49+AC52</f>
        <v>840969</v>
      </c>
      <c r="AD55" s="48">
        <f t="shared" si="53"/>
        <v>1628824</v>
      </c>
      <c r="AE55" s="48">
        <f>AE49+AE52</f>
        <v>1548047</v>
      </c>
      <c r="AF55" s="48">
        <f>AF49+AF52</f>
        <v>5179905</v>
      </c>
      <c r="AG55" s="48">
        <f t="shared" ca="1" si="53"/>
        <v>6520005.5696372055</v>
      </c>
      <c r="AH55" s="48">
        <f t="shared" ca="1" si="53"/>
        <v>8510761.3755547088</v>
      </c>
      <c r="AI55" s="48">
        <f t="shared" ca="1" si="53"/>
        <v>8225410.7674987279</v>
      </c>
      <c r="AJ55" s="48">
        <f t="shared" ca="1" si="53"/>
        <v>8204616.5692923423</v>
      </c>
      <c r="AK55" s="48">
        <f t="shared" ca="1" si="53"/>
        <v>7500719.0516192587</v>
      </c>
      <c r="AL55" s="48">
        <f t="shared" ca="1" si="53"/>
        <v>7500750.8743293891</v>
      </c>
      <c r="AM55" s="48">
        <f t="shared" ca="1" si="53"/>
        <v>6811067.0389197944</v>
      </c>
      <c r="AN55" s="48">
        <f t="shared" ca="1" si="53"/>
        <v>5811805.9893464185</v>
      </c>
      <c r="AO55" s="48">
        <f t="shared" ca="1" si="53"/>
        <v>5167334.6998747587</v>
      </c>
      <c r="AP55" s="48">
        <f t="shared" ca="1" si="53"/>
        <v>4485689.3942191806</v>
      </c>
      <c r="AQ55" s="48">
        <f t="shared" ca="1" si="53"/>
        <v>4054682.3771434873</v>
      </c>
      <c r="AR55" s="48">
        <f t="shared" ca="1" si="53"/>
        <v>3572394.6731558535</v>
      </c>
      <c r="AS55" s="48">
        <f t="shared" ca="1" si="53"/>
        <v>3066373.1823873022</v>
      </c>
      <c r="AT55" s="48">
        <f t="shared" ca="1" si="53"/>
        <v>2611834.7467161207</v>
      </c>
      <c r="AU55" s="48">
        <f t="shared" ca="1" si="53"/>
        <v>2372905.8730857754</v>
      </c>
      <c r="AV55" s="48">
        <f t="shared" ca="1" si="53"/>
        <v>2255834.7627940122</v>
      </c>
      <c r="AW55" s="48">
        <f t="shared" ca="1" si="53"/>
        <v>1817205.4115937976</v>
      </c>
      <c r="AX55" s="48">
        <f t="shared" ca="1" si="53"/>
        <v>1646210.5068155662</v>
      </c>
      <c r="AY55" s="48">
        <f t="shared" ca="1" si="53"/>
        <v>1501156.7464338467</v>
      </c>
      <c r="AZ55" s="48">
        <f t="shared" ca="1" si="53"/>
        <v>1355274.4013596051</v>
      </c>
      <c r="BA55" s="48">
        <f t="shared" ca="1" si="53"/>
        <v>1247170.7284282311</v>
      </c>
      <c r="BB55" s="48">
        <f t="shared" ca="1" si="53"/>
        <v>1107788.5035036006</v>
      </c>
      <c r="BC55" s="48">
        <f t="shared" ca="1" si="53"/>
        <v>1023231.5898105385</v>
      </c>
      <c r="BD55" s="48">
        <f t="shared" ca="1" si="53"/>
        <v>949403.42400270584</v>
      </c>
      <c r="BE55" s="48">
        <f t="shared" ca="1" si="53"/>
        <v>895180.96922707302</v>
      </c>
      <c r="BF55" s="48">
        <f t="shared" ca="1" si="53"/>
        <v>765370.2123417221</v>
      </c>
      <c r="BG55" s="48">
        <f t="shared" ca="1" si="53"/>
        <v>636951.53465195221</v>
      </c>
      <c r="BH55" s="48">
        <f t="shared" ca="1" si="53"/>
        <v>780160.3315255323</v>
      </c>
      <c r="BI55" s="48">
        <f t="shared" ca="1" si="53"/>
        <v>776539.0350720014</v>
      </c>
      <c r="BJ55" s="48">
        <f t="shared" ca="1" si="53"/>
        <v>0</v>
      </c>
      <c r="BK55" s="48">
        <f t="shared" ca="1" si="53"/>
        <v>0</v>
      </c>
      <c r="BL55" s="48">
        <f t="shared" ca="1" si="53"/>
        <v>0</v>
      </c>
      <c r="BM55" s="48">
        <f ca="1">BM49+BM52</f>
        <v>0</v>
      </c>
      <c r="BN55" s="48">
        <f ca="1">BN49+BN52</f>
        <v>0</v>
      </c>
      <c r="BO55" s="48">
        <f ca="1">BO49+BO52</f>
        <v>0</v>
      </c>
      <c r="BP55" s="48">
        <f ca="1">BP49+BP52</f>
        <v>0</v>
      </c>
      <c r="BQ55" s="48">
        <f ca="1">BQ49+BQ52</f>
        <v>0</v>
      </c>
      <c r="BR55" s="48">
        <f t="shared" ref="BR55:BW55" ca="1" si="54">BR49+BR52</f>
        <v>0</v>
      </c>
      <c r="BS55" s="48">
        <f t="shared" ca="1" si="54"/>
        <v>0</v>
      </c>
      <c r="BT55" s="48">
        <f t="shared" ca="1" si="54"/>
        <v>0</v>
      </c>
      <c r="BU55" s="48">
        <f t="shared" ca="1" si="54"/>
        <v>0</v>
      </c>
      <c r="BV55" s="48">
        <f t="shared" ca="1" si="54"/>
        <v>0</v>
      </c>
      <c r="BW55" s="48">
        <f t="shared" ca="1" si="54"/>
        <v>0</v>
      </c>
    </row>
    <row r="56" spans="1:75" x14ac:dyDescent="0.3">
      <c r="A56" s="1" t="s">
        <v>202</v>
      </c>
      <c r="C56" s="49">
        <v>0</v>
      </c>
      <c r="D56" s="49">
        <v>0</v>
      </c>
      <c r="E56" s="49">
        <v>0</v>
      </c>
      <c r="F56" s="49">
        <v>0</v>
      </c>
      <c r="G56" s="51">
        <f t="shared" si="46"/>
        <v>0</v>
      </c>
      <c r="H56" s="49">
        <v>0</v>
      </c>
      <c r="I56" s="49">
        <v>0</v>
      </c>
      <c r="J56" s="49">
        <v>0</v>
      </c>
      <c r="K56" s="49">
        <v>0</v>
      </c>
      <c r="L56" s="51">
        <f t="shared" si="47"/>
        <v>0</v>
      </c>
      <c r="M56" s="49">
        <v>0</v>
      </c>
      <c r="N56" s="49">
        <v>0</v>
      </c>
      <c r="O56" s="49">
        <v>0</v>
      </c>
      <c r="P56" s="49">
        <v>0</v>
      </c>
      <c r="Q56" s="51">
        <f t="shared" si="48"/>
        <v>0</v>
      </c>
      <c r="R56" s="49">
        <v>0</v>
      </c>
      <c r="S56" s="49">
        <v>0</v>
      </c>
      <c r="T56" s="49">
        <v>0</v>
      </c>
      <c r="U56" s="49">
        <v>0</v>
      </c>
      <c r="V56" s="51">
        <f t="shared" si="49"/>
        <v>0</v>
      </c>
      <c r="W56" s="49">
        <v>0</v>
      </c>
      <c r="X56" s="49">
        <v>0</v>
      </c>
      <c r="Y56" s="49">
        <v>0</v>
      </c>
      <c r="Z56" s="49">
        <v>0</v>
      </c>
      <c r="AA56" s="51">
        <f t="shared" si="50"/>
        <v>0</v>
      </c>
      <c r="AB56" s="49">
        <v>0</v>
      </c>
      <c r="AC56" s="49">
        <v>0</v>
      </c>
      <c r="AD56" s="49">
        <v>0</v>
      </c>
      <c r="AE56" s="49">
        <f>AF56-AD56-AC56-AB56</f>
        <v>0</v>
      </c>
      <c r="AF56" s="49">
        <v>0</v>
      </c>
      <c r="AG56" s="49">
        <v>0</v>
      </c>
      <c r="AH56" s="49">
        <v>0</v>
      </c>
      <c r="AI56" s="49">
        <v>0</v>
      </c>
      <c r="AJ56" s="49">
        <v>0</v>
      </c>
      <c r="AK56" s="49">
        <v>0</v>
      </c>
      <c r="AL56" s="49">
        <v>0</v>
      </c>
      <c r="AM56" s="49">
        <v>0</v>
      </c>
      <c r="AN56" s="49">
        <v>0</v>
      </c>
      <c r="AO56" s="49">
        <v>0</v>
      </c>
      <c r="AP56" s="49">
        <v>0</v>
      </c>
      <c r="AQ56" s="49">
        <v>0</v>
      </c>
      <c r="AR56" s="49">
        <v>0</v>
      </c>
      <c r="AS56" s="49">
        <v>0</v>
      </c>
      <c r="AT56" s="49">
        <v>0</v>
      </c>
      <c r="AU56" s="49">
        <v>0</v>
      </c>
      <c r="AV56" s="49">
        <v>0</v>
      </c>
      <c r="AW56" s="49">
        <v>0</v>
      </c>
      <c r="AX56" s="49">
        <v>0</v>
      </c>
      <c r="AY56" s="49">
        <v>0</v>
      </c>
      <c r="AZ56" s="49">
        <v>0</v>
      </c>
      <c r="BA56" s="49">
        <v>0</v>
      </c>
      <c r="BB56" s="49">
        <v>0</v>
      </c>
      <c r="BC56" s="49">
        <v>0</v>
      </c>
      <c r="BD56" s="49">
        <v>0</v>
      </c>
      <c r="BE56" s="49">
        <v>0</v>
      </c>
      <c r="BF56" s="49">
        <v>0</v>
      </c>
      <c r="BG56" s="49">
        <v>0</v>
      </c>
      <c r="BH56" s="49">
        <v>0</v>
      </c>
      <c r="BI56" s="49">
        <v>0</v>
      </c>
      <c r="BJ56" s="49">
        <v>0</v>
      </c>
      <c r="BK56" s="49">
        <v>0</v>
      </c>
      <c r="BL56" s="49">
        <v>0</v>
      </c>
      <c r="BM56" s="49">
        <v>0</v>
      </c>
      <c r="BN56" s="49">
        <v>0</v>
      </c>
      <c r="BO56" s="49">
        <v>0</v>
      </c>
      <c r="BP56" s="49">
        <v>0</v>
      </c>
      <c r="BQ56" s="49">
        <v>0</v>
      </c>
      <c r="BR56" s="49">
        <v>0</v>
      </c>
      <c r="BS56" s="49">
        <v>0</v>
      </c>
      <c r="BT56" s="49">
        <v>0</v>
      </c>
      <c r="BU56" s="49">
        <v>0</v>
      </c>
      <c r="BV56" s="49">
        <v>0</v>
      </c>
      <c r="BW56" s="49">
        <v>0</v>
      </c>
    </row>
    <row r="57" spans="1:75" x14ac:dyDescent="0.3">
      <c r="A57" s="42" t="s">
        <v>203</v>
      </c>
      <c r="B57" s="42"/>
      <c r="C57" s="49">
        <v>0</v>
      </c>
      <c r="D57" s="49">
        <v>0</v>
      </c>
      <c r="E57" s="49">
        <v>0</v>
      </c>
      <c r="F57" s="49">
        <v>0</v>
      </c>
      <c r="G57" s="51">
        <f t="shared" si="46"/>
        <v>0</v>
      </c>
      <c r="H57" s="49">
        <v>0</v>
      </c>
      <c r="I57" s="49">
        <v>0</v>
      </c>
      <c r="J57" s="49">
        <v>0</v>
      </c>
      <c r="K57" s="49">
        <v>0</v>
      </c>
      <c r="L57" s="51">
        <f t="shared" si="47"/>
        <v>0</v>
      </c>
      <c r="M57" s="49">
        <v>0</v>
      </c>
      <c r="N57" s="49">
        <v>0</v>
      </c>
      <c r="O57" s="49">
        <v>0</v>
      </c>
      <c r="P57" s="49">
        <v>0</v>
      </c>
      <c r="Q57" s="51">
        <f t="shared" si="48"/>
        <v>0</v>
      </c>
      <c r="R57" s="49">
        <v>0</v>
      </c>
      <c r="S57" s="49">
        <v>0</v>
      </c>
      <c r="T57" s="49">
        <v>0</v>
      </c>
      <c r="U57" s="49">
        <v>0</v>
      </c>
      <c r="V57" s="51">
        <f t="shared" si="49"/>
        <v>0</v>
      </c>
      <c r="W57" s="49">
        <v>0</v>
      </c>
      <c r="X57" s="49">
        <v>0</v>
      </c>
      <c r="Y57" s="49">
        <v>0</v>
      </c>
      <c r="Z57" s="49">
        <v>0</v>
      </c>
      <c r="AA57" s="51">
        <f t="shared" si="50"/>
        <v>0</v>
      </c>
      <c r="AB57" s="49">
        <v>0</v>
      </c>
      <c r="AC57" s="49">
        <v>0</v>
      </c>
      <c r="AD57" s="49">
        <v>0</v>
      </c>
      <c r="AE57" s="49">
        <f>AF57-AD57-AC57-AB57</f>
        <v>0</v>
      </c>
      <c r="AF57" s="49">
        <v>0</v>
      </c>
      <c r="AG57" s="49">
        <v>0</v>
      </c>
      <c r="AH57" s="49">
        <v>0</v>
      </c>
      <c r="AI57" s="49">
        <v>0</v>
      </c>
      <c r="AJ57" s="49">
        <v>0</v>
      </c>
      <c r="AK57" s="49">
        <v>0</v>
      </c>
      <c r="AL57" s="49">
        <v>0</v>
      </c>
      <c r="AM57" s="49">
        <v>0</v>
      </c>
      <c r="AN57" s="49">
        <v>0</v>
      </c>
      <c r="AO57" s="49">
        <v>0</v>
      </c>
      <c r="AP57" s="49">
        <v>0</v>
      </c>
      <c r="AQ57" s="49">
        <v>0</v>
      </c>
      <c r="AR57" s="49">
        <v>0</v>
      </c>
      <c r="AS57" s="49">
        <v>0</v>
      </c>
      <c r="AT57" s="49">
        <v>0</v>
      </c>
      <c r="AU57" s="49">
        <v>0</v>
      </c>
      <c r="AV57" s="49">
        <v>0</v>
      </c>
      <c r="AW57" s="49">
        <v>0</v>
      </c>
      <c r="AX57" s="49">
        <v>0</v>
      </c>
      <c r="AY57" s="49">
        <v>0</v>
      </c>
      <c r="AZ57" s="49">
        <v>0</v>
      </c>
      <c r="BA57" s="49">
        <v>0</v>
      </c>
      <c r="BB57" s="49">
        <v>0</v>
      </c>
      <c r="BC57" s="49">
        <v>0</v>
      </c>
      <c r="BD57" s="49">
        <v>0</v>
      </c>
      <c r="BE57" s="49">
        <v>0</v>
      </c>
      <c r="BF57" s="49">
        <v>0</v>
      </c>
      <c r="BG57" s="49">
        <v>0</v>
      </c>
      <c r="BH57" s="49">
        <v>0</v>
      </c>
      <c r="BI57" s="49">
        <v>0</v>
      </c>
      <c r="BJ57" s="49">
        <v>0</v>
      </c>
      <c r="BK57" s="49">
        <v>0</v>
      </c>
      <c r="BL57" s="49">
        <v>0</v>
      </c>
      <c r="BM57" s="49">
        <v>0</v>
      </c>
      <c r="BN57" s="49">
        <v>0</v>
      </c>
      <c r="BO57" s="49">
        <v>0</v>
      </c>
      <c r="BP57" s="49">
        <v>0</v>
      </c>
      <c r="BQ57" s="49">
        <v>0</v>
      </c>
      <c r="BR57" s="49">
        <v>0</v>
      </c>
      <c r="BS57" s="49">
        <v>0</v>
      </c>
      <c r="BT57" s="49">
        <v>0</v>
      </c>
      <c r="BU57" s="49">
        <v>0</v>
      </c>
      <c r="BV57" s="49">
        <v>0</v>
      </c>
      <c r="BW57" s="49">
        <v>0</v>
      </c>
    </row>
    <row r="58" spans="1:75" x14ac:dyDescent="0.3">
      <c r="A58" s="42" t="s">
        <v>204</v>
      </c>
      <c r="B58" s="42"/>
      <c r="C58" s="49">
        <v>0</v>
      </c>
      <c r="D58" s="49">
        <v>0</v>
      </c>
      <c r="E58" s="49">
        <v>0</v>
      </c>
      <c r="F58" s="49">
        <v>0</v>
      </c>
      <c r="G58" s="51">
        <f t="shared" si="46"/>
        <v>0</v>
      </c>
      <c r="H58" s="49">
        <v>0</v>
      </c>
      <c r="I58" s="49">
        <v>0</v>
      </c>
      <c r="J58" s="49">
        <v>0</v>
      </c>
      <c r="K58" s="49">
        <v>0</v>
      </c>
      <c r="L58" s="51">
        <f t="shared" si="47"/>
        <v>0</v>
      </c>
      <c r="M58" s="49">
        <v>0</v>
      </c>
      <c r="N58" s="49">
        <v>0</v>
      </c>
      <c r="O58" s="49">
        <v>0</v>
      </c>
      <c r="P58" s="49">
        <v>0</v>
      </c>
      <c r="Q58" s="51">
        <f t="shared" si="48"/>
        <v>0</v>
      </c>
      <c r="R58" s="49">
        <v>0</v>
      </c>
      <c r="S58" s="49">
        <v>0</v>
      </c>
      <c r="T58" s="49">
        <v>0</v>
      </c>
      <c r="U58" s="49">
        <v>0</v>
      </c>
      <c r="V58" s="51">
        <f t="shared" si="49"/>
        <v>0</v>
      </c>
      <c r="W58" s="49">
        <v>0</v>
      </c>
      <c r="X58" s="49">
        <v>0</v>
      </c>
      <c r="Y58" s="49">
        <v>0</v>
      </c>
      <c r="Z58" s="49">
        <v>0</v>
      </c>
      <c r="AA58" s="51">
        <f t="shared" si="50"/>
        <v>0</v>
      </c>
      <c r="AB58" s="49">
        <v>0</v>
      </c>
      <c r="AC58" s="49">
        <v>0</v>
      </c>
      <c r="AD58" s="49">
        <v>0</v>
      </c>
      <c r="AE58" s="49">
        <f>AF58-AD58-AC58-AB58</f>
        <v>0</v>
      </c>
      <c r="AF58" s="49">
        <v>0</v>
      </c>
      <c r="AG58" s="49">
        <v>0</v>
      </c>
      <c r="AH58" s="49">
        <v>0</v>
      </c>
      <c r="AI58" s="49">
        <v>0</v>
      </c>
      <c r="AJ58" s="49">
        <v>0</v>
      </c>
      <c r="AK58" s="49">
        <v>0</v>
      </c>
      <c r="AL58" s="49">
        <v>0</v>
      </c>
      <c r="AM58" s="49">
        <v>0</v>
      </c>
      <c r="AN58" s="49">
        <v>0</v>
      </c>
      <c r="AO58" s="49">
        <v>0</v>
      </c>
      <c r="AP58" s="49">
        <v>0</v>
      </c>
      <c r="AQ58" s="49">
        <v>0</v>
      </c>
      <c r="AR58" s="49">
        <v>0</v>
      </c>
      <c r="AS58" s="49">
        <v>0</v>
      </c>
      <c r="AT58" s="49">
        <v>0</v>
      </c>
      <c r="AU58" s="49">
        <v>0</v>
      </c>
      <c r="AV58" s="49">
        <v>0</v>
      </c>
      <c r="AW58" s="49">
        <v>0</v>
      </c>
      <c r="AX58" s="49">
        <v>0</v>
      </c>
      <c r="AY58" s="49">
        <v>0</v>
      </c>
      <c r="AZ58" s="49">
        <v>0</v>
      </c>
      <c r="BA58" s="49">
        <v>0</v>
      </c>
      <c r="BB58" s="49">
        <v>0</v>
      </c>
      <c r="BC58" s="49">
        <v>0</v>
      </c>
      <c r="BD58" s="49">
        <v>0</v>
      </c>
      <c r="BE58" s="49">
        <v>0</v>
      </c>
      <c r="BF58" s="49">
        <v>0</v>
      </c>
      <c r="BG58" s="49">
        <v>0</v>
      </c>
      <c r="BH58" s="49">
        <v>0</v>
      </c>
      <c r="BI58" s="49">
        <v>0</v>
      </c>
      <c r="BJ58" s="49">
        <v>0</v>
      </c>
      <c r="BK58" s="49">
        <v>0</v>
      </c>
      <c r="BL58" s="49">
        <v>0</v>
      </c>
      <c r="BM58" s="49">
        <v>0</v>
      </c>
      <c r="BN58" s="49">
        <v>0</v>
      </c>
      <c r="BO58" s="49">
        <v>0</v>
      </c>
      <c r="BP58" s="49">
        <v>0</v>
      </c>
      <c r="BQ58" s="49">
        <v>0</v>
      </c>
      <c r="BR58" s="49">
        <v>0</v>
      </c>
      <c r="BS58" s="49">
        <v>0</v>
      </c>
      <c r="BT58" s="49">
        <v>0</v>
      </c>
      <c r="BU58" s="49">
        <v>0</v>
      </c>
      <c r="BV58" s="49">
        <v>0</v>
      </c>
      <c r="BW58" s="49">
        <v>0</v>
      </c>
    </row>
    <row r="59" spans="1:75" x14ac:dyDescent="0.3">
      <c r="A59" s="38" t="s">
        <v>205</v>
      </c>
      <c r="B59" s="38"/>
      <c r="C59" s="48">
        <f>C55</f>
        <v>2694</v>
      </c>
      <c r="D59" s="48">
        <f>D55</f>
        <v>71751</v>
      </c>
      <c r="E59" s="48">
        <f>E55</f>
        <v>69361</v>
      </c>
      <c r="F59" s="48">
        <f>F55</f>
        <v>46175</v>
      </c>
      <c r="G59" s="48">
        <f t="shared" si="46"/>
        <v>189981</v>
      </c>
      <c r="H59" s="48">
        <f>H55</f>
        <v>54164</v>
      </c>
      <c r="I59" s="48">
        <f>I55</f>
        <v>165542</v>
      </c>
      <c r="J59" s="48">
        <f>J55</f>
        <v>-171910</v>
      </c>
      <c r="K59" s="48">
        <f>K55</f>
        <v>794550</v>
      </c>
      <c r="L59" s="48">
        <f t="shared" si="47"/>
        <v>842346</v>
      </c>
      <c r="M59" s="48">
        <f>M55</f>
        <v>-61461</v>
      </c>
      <c r="N59" s="48">
        <f>N55</f>
        <v>-99802</v>
      </c>
      <c r="O59" s="48">
        <f>O55</f>
        <v>-110598</v>
      </c>
      <c r="P59" s="48">
        <f>P55</f>
        <v>724774</v>
      </c>
      <c r="Q59" s="48">
        <f t="shared" si="48"/>
        <v>452913</v>
      </c>
      <c r="R59" s="48">
        <f>R55</f>
        <v>-65792</v>
      </c>
      <c r="S59" s="48">
        <f>S55</f>
        <v>420902</v>
      </c>
      <c r="T59" s="48">
        <f>T55</f>
        <v>97104</v>
      </c>
      <c r="U59" s="48">
        <f>U55</f>
        <v>880832</v>
      </c>
      <c r="V59" s="48">
        <f t="shared" si="49"/>
        <v>1333046</v>
      </c>
      <c r="W59" s="48">
        <f>W55</f>
        <v>1068970</v>
      </c>
      <c r="X59" s="48">
        <f>X55</f>
        <v>757907</v>
      </c>
      <c r="Y59" s="48">
        <f>Y55</f>
        <v>792314</v>
      </c>
      <c r="Z59" s="48">
        <f>Z55</f>
        <v>807881</v>
      </c>
      <c r="AA59" s="48">
        <f t="shared" si="50"/>
        <v>3427072</v>
      </c>
      <c r="AB59" s="48">
        <f>AB55</f>
        <v>1162065</v>
      </c>
      <c r="AC59" s="48">
        <f>AC55</f>
        <v>840969</v>
      </c>
      <c r="AD59" s="48">
        <f>AD55</f>
        <v>1628824</v>
      </c>
      <c r="AE59" s="48">
        <f>AE55</f>
        <v>1548047</v>
      </c>
      <c r="AF59" s="48">
        <f>AF55</f>
        <v>5179905</v>
      </c>
      <c r="AG59" s="48">
        <f t="shared" ref="AG59:BW59" ca="1" si="55">IF(AG11=0,0,AG55)</f>
        <v>6520005.5696372055</v>
      </c>
      <c r="AH59" s="48">
        <f t="shared" ca="1" si="55"/>
        <v>8510761.3755547088</v>
      </c>
      <c r="AI59" s="48">
        <f t="shared" ca="1" si="55"/>
        <v>8225410.7674987279</v>
      </c>
      <c r="AJ59" s="48">
        <f t="shared" ca="1" si="55"/>
        <v>8204616.5692923423</v>
      </c>
      <c r="AK59" s="48">
        <f t="shared" ca="1" si="55"/>
        <v>7500719.0516192587</v>
      </c>
      <c r="AL59" s="48">
        <f t="shared" ca="1" si="55"/>
        <v>7500750.8743293891</v>
      </c>
      <c r="AM59" s="48">
        <f t="shared" ca="1" si="55"/>
        <v>6811067.0389197944</v>
      </c>
      <c r="AN59" s="48">
        <f t="shared" ca="1" si="55"/>
        <v>5811805.9893464185</v>
      </c>
      <c r="AO59" s="48">
        <f t="shared" ca="1" si="55"/>
        <v>5167334.6998747587</v>
      </c>
      <c r="AP59" s="48">
        <f t="shared" ca="1" si="55"/>
        <v>4485689.3942191806</v>
      </c>
      <c r="AQ59" s="48">
        <f t="shared" ca="1" si="55"/>
        <v>4054682.3771434873</v>
      </c>
      <c r="AR59" s="48">
        <f t="shared" ca="1" si="55"/>
        <v>3572394.6731558535</v>
      </c>
      <c r="AS59" s="48">
        <f t="shared" ca="1" si="55"/>
        <v>3066373.1823873022</v>
      </c>
      <c r="AT59" s="48">
        <f t="shared" ca="1" si="55"/>
        <v>2611834.7467161207</v>
      </c>
      <c r="AU59" s="48">
        <f t="shared" ca="1" si="55"/>
        <v>2372905.8730857754</v>
      </c>
      <c r="AV59" s="48">
        <f t="shared" ca="1" si="55"/>
        <v>2255834.7627940122</v>
      </c>
      <c r="AW59" s="48">
        <f t="shared" ca="1" si="55"/>
        <v>1817205.4115937976</v>
      </c>
      <c r="AX59" s="48">
        <f t="shared" ca="1" si="55"/>
        <v>1646210.5068155662</v>
      </c>
      <c r="AY59" s="48">
        <f t="shared" ca="1" si="55"/>
        <v>1501156.7464338467</v>
      </c>
      <c r="AZ59" s="48">
        <f t="shared" ca="1" si="55"/>
        <v>1355274.4013596051</v>
      </c>
      <c r="BA59" s="48">
        <f t="shared" ca="1" si="55"/>
        <v>1247170.7284282311</v>
      </c>
      <c r="BB59" s="48">
        <f t="shared" ca="1" si="55"/>
        <v>1107788.5035036006</v>
      </c>
      <c r="BC59" s="48">
        <f t="shared" ca="1" si="55"/>
        <v>1023231.5898105385</v>
      </c>
      <c r="BD59" s="48">
        <f t="shared" ca="1" si="55"/>
        <v>949403.42400270584</v>
      </c>
      <c r="BE59" s="48">
        <f t="shared" ca="1" si="55"/>
        <v>895180.96922707302</v>
      </c>
      <c r="BF59" s="48">
        <f t="shared" ca="1" si="55"/>
        <v>765370.2123417221</v>
      </c>
      <c r="BG59" s="48">
        <f t="shared" ca="1" si="55"/>
        <v>636951.53465195221</v>
      </c>
      <c r="BH59" s="48">
        <f t="shared" ca="1" si="55"/>
        <v>780160.3315255323</v>
      </c>
      <c r="BI59" s="48">
        <f t="shared" ca="1" si="55"/>
        <v>776539.0350720014</v>
      </c>
      <c r="BJ59" s="48">
        <f t="shared" ca="1" si="55"/>
        <v>0</v>
      </c>
      <c r="BK59" s="48">
        <f t="shared" ca="1" si="55"/>
        <v>0</v>
      </c>
      <c r="BL59" s="48">
        <f t="shared" ca="1" si="55"/>
        <v>0</v>
      </c>
      <c r="BM59" s="48">
        <f t="shared" ca="1" si="55"/>
        <v>0</v>
      </c>
      <c r="BN59" s="48">
        <f t="shared" ca="1" si="55"/>
        <v>0</v>
      </c>
      <c r="BO59" s="48">
        <f t="shared" ca="1" si="55"/>
        <v>0</v>
      </c>
      <c r="BP59" s="48">
        <f t="shared" ca="1" si="55"/>
        <v>0</v>
      </c>
      <c r="BQ59" s="48">
        <f t="shared" ca="1" si="55"/>
        <v>0</v>
      </c>
      <c r="BR59" s="48">
        <f t="shared" ca="1" si="55"/>
        <v>0</v>
      </c>
      <c r="BS59" s="48">
        <f t="shared" ca="1" si="55"/>
        <v>0</v>
      </c>
      <c r="BT59" s="48">
        <f t="shared" ca="1" si="55"/>
        <v>0</v>
      </c>
      <c r="BU59" s="48">
        <f t="shared" ca="1" si="55"/>
        <v>0</v>
      </c>
      <c r="BV59" s="48">
        <f t="shared" ca="1" si="55"/>
        <v>0</v>
      </c>
      <c r="BW59" s="48">
        <f t="shared" ca="1" si="55"/>
        <v>0</v>
      </c>
    </row>
    <row r="60" spans="1:75" x14ac:dyDescent="0.3">
      <c r="A60" s="42" t="s">
        <v>206</v>
      </c>
      <c r="B60" s="42"/>
      <c r="C60" s="49">
        <v>2694</v>
      </c>
      <c r="D60" s="49">
        <v>76355</v>
      </c>
      <c r="E60" s="49">
        <v>72668</v>
      </c>
      <c r="F60" s="49">
        <v>54579</v>
      </c>
      <c r="G60" s="51">
        <f t="shared" si="46"/>
        <v>206296</v>
      </c>
      <c r="H60" s="49">
        <v>19638</v>
      </c>
      <c r="I60" s="49">
        <v>164762</v>
      </c>
      <c r="J60" s="49">
        <v>-101265</v>
      </c>
      <c r="K60" s="49">
        <v>759211</v>
      </c>
      <c r="L60" s="51">
        <f t="shared" si="47"/>
        <v>842346</v>
      </c>
      <c r="M60" s="49">
        <v>-61461</v>
      </c>
      <c r="N60" s="49">
        <v>-99802</v>
      </c>
      <c r="O60" s="49">
        <v>-110598</v>
      </c>
      <c r="P60" s="49">
        <v>724627</v>
      </c>
      <c r="Q60" s="51">
        <f t="shared" si="48"/>
        <v>452766</v>
      </c>
      <c r="R60" s="49">
        <v>-65792</v>
      </c>
      <c r="S60" s="49">
        <v>420902</v>
      </c>
      <c r="T60" s="49">
        <v>97104</v>
      </c>
      <c r="U60" s="49">
        <v>880832</v>
      </c>
      <c r="V60" s="51">
        <f t="shared" si="49"/>
        <v>1333046</v>
      </c>
      <c r="W60" s="49">
        <v>1068970</v>
      </c>
      <c r="X60" s="49">
        <v>757907</v>
      </c>
      <c r="Y60" s="49">
        <v>792314</v>
      </c>
      <c r="Z60" s="49">
        <v>807881</v>
      </c>
      <c r="AA60" s="51">
        <f t="shared" si="50"/>
        <v>3427072</v>
      </c>
      <c r="AB60" s="49">
        <v>1162065</v>
      </c>
      <c r="AC60" s="49">
        <v>840969</v>
      </c>
      <c r="AD60" s="49">
        <v>1628824</v>
      </c>
      <c r="AE60" s="49">
        <v>0</v>
      </c>
      <c r="AF60" s="49">
        <v>0</v>
      </c>
      <c r="AG60" s="51">
        <f t="shared" ref="AG60:BL60" ca="1" si="56">AG59</f>
        <v>6520005.5696372055</v>
      </c>
      <c r="AH60" s="51">
        <f t="shared" ca="1" si="56"/>
        <v>8510761.3755547088</v>
      </c>
      <c r="AI60" s="51">
        <f t="shared" ca="1" si="56"/>
        <v>8225410.7674987279</v>
      </c>
      <c r="AJ60" s="51">
        <f t="shared" ca="1" si="56"/>
        <v>8204616.5692923423</v>
      </c>
      <c r="AK60" s="51">
        <f t="shared" ca="1" si="56"/>
        <v>7500719.0516192587</v>
      </c>
      <c r="AL60" s="51">
        <f t="shared" ca="1" si="56"/>
        <v>7500750.8743293891</v>
      </c>
      <c r="AM60" s="51">
        <f t="shared" ca="1" si="56"/>
        <v>6811067.0389197944</v>
      </c>
      <c r="AN60" s="51">
        <f t="shared" ca="1" si="56"/>
        <v>5811805.9893464185</v>
      </c>
      <c r="AO60" s="51">
        <f t="shared" ca="1" si="56"/>
        <v>5167334.6998747587</v>
      </c>
      <c r="AP60" s="51">
        <f t="shared" ca="1" si="56"/>
        <v>4485689.3942191806</v>
      </c>
      <c r="AQ60" s="51">
        <f t="shared" ca="1" si="56"/>
        <v>4054682.3771434873</v>
      </c>
      <c r="AR60" s="51">
        <f t="shared" ca="1" si="56"/>
        <v>3572394.6731558535</v>
      </c>
      <c r="AS60" s="51">
        <f t="shared" ca="1" si="56"/>
        <v>3066373.1823873022</v>
      </c>
      <c r="AT60" s="51">
        <f t="shared" ca="1" si="56"/>
        <v>2611834.7467161207</v>
      </c>
      <c r="AU60" s="51">
        <f t="shared" ca="1" si="56"/>
        <v>2372905.8730857754</v>
      </c>
      <c r="AV60" s="51">
        <f t="shared" ca="1" si="56"/>
        <v>2255834.7627940122</v>
      </c>
      <c r="AW60" s="51">
        <f t="shared" ca="1" si="56"/>
        <v>1817205.4115937976</v>
      </c>
      <c r="AX60" s="51">
        <f t="shared" ca="1" si="56"/>
        <v>1646210.5068155662</v>
      </c>
      <c r="AY60" s="51">
        <f t="shared" ca="1" si="56"/>
        <v>1501156.7464338467</v>
      </c>
      <c r="AZ60" s="51">
        <f t="shared" ca="1" si="56"/>
        <v>1355274.4013596051</v>
      </c>
      <c r="BA60" s="51">
        <f t="shared" ca="1" si="56"/>
        <v>1247170.7284282311</v>
      </c>
      <c r="BB60" s="51">
        <f t="shared" ca="1" si="56"/>
        <v>1107788.5035036006</v>
      </c>
      <c r="BC60" s="51">
        <f t="shared" ca="1" si="56"/>
        <v>1023231.5898105385</v>
      </c>
      <c r="BD60" s="51">
        <f t="shared" ca="1" si="56"/>
        <v>949403.42400270584</v>
      </c>
      <c r="BE60" s="51">
        <f t="shared" ca="1" si="56"/>
        <v>895180.96922707302</v>
      </c>
      <c r="BF60" s="51">
        <f t="shared" ca="1" si="56"/>
        <v>765370.2123417221</v>
      </c>
      <c r="BG60" s="51">
        <f t="shared" ca="1" si="56"/>
        <v>636951.53465195221</v>
      </c>
      <c r="BH60" s="51">
        <f t="shared" ca="1" si="56"/>
        <v>780160.3315255323</v>
      </c>
      <c r="BI60" s="51">
        <f t="shared" ca="1" si="56"/>
        <v>776539.0350720014</v>
      </c>
      <c r="BJ60" s="51">
        <f t="shared" ca="1" si="56"/>
        <v>0</v>
      </c>
      <c r="BK60" s="51">
        <f t="shared" ca="1" si="56"/>
        <v>0</v>
      </c>
      <c r="BL60" s="51">
        <f t="shared" ca="1" si="56"/>
        <v>0</v>
      </c>
      <c r="BM60" s="51">
        <f ca="1">BM59</f>
        <v>0</v>
      </c>
      <c r="BN60" s="51">
        <f ca="1">BN59</f>
        <v>0</v>
      </c>
      <c r="BO60" s="51">
        <f ca="1">BO59</f>
        <v>0</v>
      </c>
      <c r="BP60" s="51">
        <f ca="1">BP59</f>
        <v>0</v>
      </c>
      <c r="BQ60" s="51">
        <f ca="1">BQ59</f>
        <v>0</v>
      </c>
      <c r="BR60" s="51">
        <f t="shared" ref="BR60:BW60" ca="1" si="57">BR59</f>
        <v>0</v>
      </c>
      <c r="BS60" s="51">
        <f t="shared" ca="1" si="57"/>
        <v>0</v>
      </c>
      <c r="BT60" s="51">
        <f t="shared" ca="1" si="57"/>
        <v>0</v>
      </c>
      <c r="BU60" s="51">
        <f t="shared" ca="1" si="57"/>
        <v>0</v>
      </c>
      <c r="BV60" s="51">
        <f t="shared" ca="1" si="57"/>
        <v>0</v>
      </c>
      <c r="BW60" s="51">
        <f t="shared" ca="1" si="57"/>
        <v>0</v>
      </c>
    </row>
    <row r="61" spans="1:75" x14ac:dyDescent="0.3">
      <c r="A61" s="42" t="s">
        <v>207</v>
      </c>
      <c r="B61" s="42"/>
      <c r="C61" s="55">
        <v>0</v>
      </c>
      <c r="D61" s="55">
        <v>0</v>
      </c>
      <c r="E61" s="55">
        <v>0</v>
      </c>
      <c r="F61" s="55">
        <v>0</v>
      </c>
      <c r="G61" s="51">
        <f t="shared" si="46"/>
        <v>0</v>
      </c>
      <c r="H61" s="55">
        <v>0</v>
      </c>
      <c r="I61" s="55">
        <v>0</v>
      </c>
      <c r="J61" s="55">
        <v>0</v>
      </c>
      <c r="K61" s="55">
        <v>0</v>
      </c>
      <c r="L61" s="51">
        <f t="shared" si="47"/>
        <v>0</v>
      </c>
      <c r="M61" s="55">
        <v>0</v>
      </c>
      <c r="N61" s="55">
        <v>0</v>
      </c>
      <c r="O61" s="55">
        <v>0</v>
      </c>
      <c r="P61" s="55">
        <v>147</v>
      </c>
      <c r="Q61" s="51">
        <f t="shared" si="48"/>
        <v>147</v>
      </c>
      <c r="R61" s="55">
        <v>0</v>
      </c>
      <c r="S61" s="55">
        <v>0</v>
      </c>
      <c r="T61" s="55">
        <v>0</v>
      </c>
      <c r="U61" s="55">
        <v>0</v>
      </c>
      <c r="V61" s="51">
        <f t="shared" si="49"/>
        <v>0</v>
      </c>
      <c r="W61" s="55">
        <v>0</v>
      </c>
      <c r="X61" s="55">
        <v>0</v>
      </c>
      <c r="Y61" s="55">
        <v>0</v>
      </c>
      <c r="Z61" s="55">
        <v>0</v>
      </c>
      <c r="AA61" s="51">
        <f t="shared" si="50"/>
        <v>0</v>
      </c>
      <c r="AB61" s="55">
        <v>0</v>
      </c>
      <c r="AC61" s="55">
        <v>0</v>
      </c>
      <c r="AD61" s="55">
        <v>0</v>
      </c>
      <c r="AE61" s="55">
        <v>0</v>
      </c>
      <c r="AF61" s="55">
        <v>0</v>
      </c>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row>
    <row r="62" spans="1:75" x14ac:dyDescent="0.3">
      <c r="C62" s="56">
        <f>C26+C27-C44</f>
        <v>0</v>
      </c>
      <c r="D62" s="56">
        <f>D26+D27-D44</f>
        <v>0</v>
      </c>
      <c r="E62" s="56">
        <f>E26+E27-E44</f>
        <v>0</v>
      </c>
      <c r="F62" s="56">
        <f>F26+F27-F44</f>
        <v>0</v>
      </c>
      <c r="G62" s="56"/>
      <c r="H62" s="56">
        <f>H26+H27-H44</f>
        <v>0</v>
      </c>
      <c r="I62" s="56">
        <f>I26+I27-I44</f>
        <v>0</v>
      </c>
      <c r="J62" s="56">
        <f>J26+J27-J44</f>
        <v>0</v>
      </c>
      <c r="K62" s="56"/>
      <c r="L62" s="56">
        <f t="shared" ref="L62:Z62" si="58">L26+L27-L44</f>
        <v>0</v>
      </c>
      <c r="M62" s="56">
        <f t="shared" si="58"/>
        <v>0</v>
      </c>
      <c r="N62" s="56">
        <f t="shared" si="58"/>
        <v>0</v>
      </c>
      <c r="O62" s="56">
        <f t="shared" si="58"/>
        <v>0</v>
      </c>
      <c r="P62" s="56">
        <f t="shared" si="58"/>
        <v>0</v>
      </c>
      <c r="Q62" s="56">
        <f t="shared" si="58"/>
        <v>0</v>
      </c>
      <c r="R62" s="56">
        <f t="shared" si="58"/>
        <v>0</v>
      </c>
      <c r="S62" s="56">
        <f t="shared" si="58"/>
        <v>0</v>
      </c>
      <c r="T62" s="56">
        <f t="shared" si="58"/>
        <v>0</v>
      </c>
      <c r="U62" s="56">
        <f t="shared" si="58"/>
        <v>0</v>
      </c>
      <c r="V62" s="56">
        <f t="shared" si="58"/>
        <v>0</v>
      </c>
      <c r="W62" s="56">
        <f t="shared" si="58"/>
        <v>0</v>
      </c>
      <c r="X62" s="56">
        <f t="shared" si="58"/>
        <v>0</v>
      </c>
      <c r="Y62" s="56">
        <f t="shared" si="58"/>
        <v>0</v>
      </c>
      <c r="Z62" s="56">
        <f t="shared" si="58"/>
        <v>0</v>
      </c>
      <c r="AA62" s="56"/>
      <c r="AB62" s="56">
        <f>AB26+AB27-AB44</f>
        <v>0</v>
      </c>
      <c r="AC62" s="56">
        <f>AC26+AC27-AC44</f>
        <v>0</v>
      </c>
      <c r="AD62" s="56">
        <f>AD26+AD27-AD44</f>
        <v>0</v>
      </c>
      <c r="AE62" s="56"/>
    </row>
    <row r="63" spans="1:75" x14ac:dyDescent="0.3">
      <c r="A63" s="38" t="s">
        <v>99</v>
      </c>
      <c r="C63" s="48">
        <f t="shared" ref="C63:AH63" si="59">C44</f>
        <v>-2115</v>
      </c>
      <c r="D63" s="48">
        <f t="shared" si="59"/>
        <v>58709</v>
      </c>
      <c r="E63" s="48">
        <f t="shared" si="59"/>
        <v>68071</v>
      </c>
      <c r="F63" s="48">
        <f t="shared" si="59"/>
        <v>45635</v>
      </c>
      <c r="G63" s="48">
        <f t="shared" si="59"/>
        <v>170300</v>
      </c>
      <c r="H63" s="48">
        <f t="shared" si="59"/>
        <v>21216</v>
      </c>
      <c r="I63" s="48">
        <f t="shared" si="59"/>
        <v>212882</v>
      </c>
      <c r="J63" s="48">
        <f t="shared" si="59"/>
        <v>-2311</v>
      </c>
      <c r="K63" s="48">
        <f t="shared" si="59"/>
        <v>646469</v>
      </c>
      <c r="L63" s="48">
        <f t="shared" si="59"/>
        <v>878256</v>
      </c>
      <c r="M63" s="48">
        <f t="shared" si="59"/>
        <v>50912</v>
      </c>
      <c r="N63" s="48">
        <f t="shared" si="59"/>
        <v>101890</v>
      </c>
      <c r="O63" s="48">
        <f t="shared" si="59"/>
        <v>108023</v>
      </c>
      <c r="P63" s="48">
        <f t="shared" si="59"/>
        <v>681924</v>
      </c>
      <c r="Q63" s="48">
        <f t="shared" si="59"/>
        <v>942749</v>
      </c>
      <c r="R63" s="48">
        <f t="shared" si="59"/>
        <v>316773</v>
      </c>
      <c r="S63" s="48">
        <f t="shared" si="59"/>
        <v>421420</v>
      </c>
      <c r="T63" s="48">
        <f t="shared" si="59"/>
        <v>431728</v>
      </c>
      <c r="U63" s="48">
        <f t="shared" si="59"/>
        <v>951522</v>
      </c>
      <c r="V63" s="48">
        <f t="shared" si="59"/>
        <v>2121443</v>
      </c>
      <c r="W63" s="48">
        <f t="shared" si="59"/>
        <v>950713</v>
      </c>
      <c r="X63" s="48">
        <f t="shared" si="59"/>
        <v>1022643</v>
      </c>
      <c r="Y63" s="48">
        <f t="shared" si="59"/>
        <v>1277592</v>
      </c>
      <c r="Z63" s="48">
        <f t="shared" si="59"/>
        <v>665265</v>
      </c>
      <c r="AA63" s="48">
        <f t="shared" si="59"/>
        <v>3916213</v>
      </c>
      <c r="AB63" s="48">
        <f t="shared" si="59"/>
        <v>1519843</v>
      </c>
      <c r="AC63" s="48">
        <f t="shared" si="59"/>
        <v>1181189</v>
      </c>
      <c r="AD63" s="48">
        <f t="shared" si="59"/>
        <v>2232324</v>
      </c>
      <c r="AE63" s="48">
        <f t="shared" si="59"/>
        <v>2222506</v>
      </c>
      <c r="AF63" s="48">
        <f t="shared" si="59"/>
        <v>7155862</v>
      </c>
      <c r="AG63" s="48">
        <f t="shared" ca="1" si="59"/>
        <v>10190363.656979494</v>
      </c>
      <c r="AH63" s="48">
        <f t="shared" ca="1" si="59"/>
        <v>12672824.412177037</v>
      </c>
      <c r="AI63" s="48">
        <f t="shared" ref="AI63:BN63" ca="1" si="60">AI44</f>
        <v>12338215.307961006</v>
      </c>
      <c r="AJ63" s="48">
        <f t="shared" ca="1" si="60"/>
        <v>12263718.534001814</v>
      </c>
      <c r="AK63" s="48">
        <f t="shared" ca="1" si="60"/>
        <v>11195289.12750737</v>
      </c>
      <c r="AL63" s="48">
        <f t="shared" ca="1" si="60"/>
        <v>11192852.498388488</v>
      </c>
      <c r="AM63" s="48">
        <f t="shared" ca="1" si="60"/>
        <v>10145970.270930199</v>
      </c>
      <c r="AN63" s="48">
        <f t="shared" ca="1" si="60"/>
        <v>8649924.2407949008</v>
      </c>
      <c r="AO63" s="48">
        <f t="shared" ca="1" si="60"/>
        <v>7695947.6751293875</v>
      </c>
      <c r="AP63" s="48">
        <f t="shared" ca="1" si="60"/>
        <v>6677721.5505011259</v>
      </c>
      <c r="AQ63" s="48">
        <f t="shared" ca="1" si="60"/>
        <v>6019508.8816876123</v>
      </c>
      <c r="AR63" s="48">
        <f t="shared" ca="1" si="60"/>
        <v>5300292.7096603187</v>
      </c>
      <c r="AS63" s="48">
        <f t="shared" ca="1" si="60"/>
        <v>4545294.4257582948</v>
      </c>
      <c r="AT63" s="48">
        <f t="shared" ca="1" si="60"/>
        <v>3868402.8146695672</v>
      </c>
      <c r="AU63" s="48">
        <f t="shared" ca="1" si="60"/>
        <v>3516457.017998891</v>
      </c>
      <c r="AV63" s="48">
        <f t="shared" ca="1" si="60"/>
        <v>3346314.7882461762</v>
      </c>
      <c r="AW63" s="48">
        <f t="shared" ca="1" si="60"/>
        <v>2687966.4731694162</v>
      </c>
      <c r="AX63" s="48">
        <f t="shared" ca="1" si="60"/>
        <v>2441193.5352840647</v>
      </c>
      <c r="AY63" s="48">
        <f t="shared" ca="1" si="60"/>
        <v>2226589.8719582236</v>
      </c>
      <c r="AZ63" s="48">
        <f t="shared" ca="1" si="60"/>
        <v>2010096.2305140675</v>
      </c>
      <c r="BA63" s="48">
        <f t="shared" ca="1" si="60"/>
        <v>1856238.1665763909</v>
      </c>
      <c r="BB63" s="48">
        <f t="shared" ca="1" si="60"/>
        <v>1647895.8351039775</v>
      </c>
      <c r="BC63" s="48">
        <f t="shared" ca="1" si="60"/>
        <v>1522991.6391870016</v>
      </c>
      <c r="BD63" s="48">
        <f t="shared" ca="1" si="60"/>
        <v>1412953.0682032451</v>
      </c>
      <c r="BE63" s="48">
        <f t="shared" ca="1" si="60"/>
        <v>1332220.5600841288</v>
      </c>
      <c r="BF63" s="48">
        <f t="shared" ca="1" si="60"/>
        <v>1136737.2763295937</v>
      </c>
      <c r="BG63" s="48">
        <f t="shared" ca="1" si="60"/>
        <v>944395.33431572316</v>
      </c>
      <c r="BH63" s="48">
        <f t="shared" ca="1" si="60"/>
        <v>1162637.0471424118</v>
      </c>
      <c r="BI63" s="48">
        <f t="shared" ca="1" si="60"/>
        <v>1157944.7977523764</v>
      </c>
      <c r="BJ63" s="48">
        <f t="shared" ca="1" si="60"/>
        <v>0</v>
      </c>
      <c r="BK63" s="48">
        <f t="shared" ca="1" si="60"/>
        <v>0</v>
      </c>
      <c r="BL63" s="48">
        <f t="shared" ca="1" si="60"/>
        <v>0</v>
      </c>
      <c r="BM63" s="48">
        <f t="shared" ca="1" si="60"/>
        <v>0</v>
      </c>
      <c r="BN63" s="48">
        <f t="shared" ca="1" si="60"/>
        <v>0</v>
      </c>
      <c r="BO63" s="48">
        <f t="shared" ref="BO63:BW63" ca="1" si="61">BO44</f>
        <v>0</v>
      </c>
      <c r="BP63" s="48">
        <f t="shared" ca="1" si="61"/>
        <v>0</v>
      </c>
      <c r="BQ63" s="48">
        <f t="shared" ca="1" si="61"/>
        <v>0</v>
      </c>
      <c r="BR63" s="48">
        <f t="shared" ca="1" si="61"/>
        <v>0</v>
      </c>
      <c r="BS63" s="48">
        <f t="shared" ca="1" si="61"/>
        <v>0</v>
      </c>
      <c r="BT63" s="48">
        <f t="shared" ca="1" si="61"/>
        <v>0</v>
      </c>
      <c r="BU63" s="48">
        <f t="shared" ca="1" si="61"/>
        <v>0</v>
      </c>
      <c r="BV63" s="48">
        <f t="shared" ca="1" si="61"/>
        <v>0</v>
      </c>
      <c r="BW63" s="48">
        <f t="shared" ca="1" si="61"/>
        <v>0</v>
      </c>
    </row>
    <row r="64" spans="1:75" x14ac:dyDescent="0.3">
      <c r="A64" s="38" t="s">
        <v>103</v>
      </c>
      <c r="C64" s="51">
        <f t="shared" ref="C64:AH64" si="62">C20+C37</f>
        <v>-26164</v>
      </c>
      <c r="D64" s="51">
        <f t="shared" si="62"/>
        <v>-45599</v>
      </c>
      <c r="E64" s="51">
        <f t="shared" si="62"/>
        <v>5306</v>
      </c>
      <c r="F64" s="51">
        <f t="shared" si="62"/>
        <v>-6005</v>
      </c>
      <c r="G64" s="51">
        <f t="shared" si="62"/>
        <v>-72462</v>
      </c>
      <c r="H64" s="51">
        <f t="shared" si="62"/>
        <v>-31240</v>
      </c>
      <c r="I64" s="51">
        <f t="shared" si="62"/>
        <v>-90543</v>
      </c>
      <c r="J64" s="51">
        <f t="shared" si="62"/>
        <v>-156583</v>
      </c>
      <c r="K64" s="51">
        <f t="shared" si="62"/>
        <v>-230592</v>
      </c>
      <c r="L64" s="51">
        <f t="shared" si="62"/>
        <v>-508958</v>
      </c>
      <c r="M64" s="51">
        <f t="shared" si="62"/>
        <v>-131655</v>
      </c>
      <c r="N64" s="51">
        <f t="shared" si="62"/>
        <v>-219924</v>
      </c>
      <c r="O64" s="51">
        <f t="shared" si="62"/>
        <v>-204267</v>
      </c>
      <c r="P64" s="51">
        <f t="shared" si="62"/>
        <v>-287954</v>
      </c>
      <c r="Q64" s="51">
        <f t="shared" si="62"/>
        <v>-843800</v>
      </c>
      <c r="R64" s="51">
        <f t="shared" si="62"/>
        <v>-131950</v>
      </c>
      <c r="S64" s="51">
        <f t="shared" si="62"/>
        <v>-236174</v>
      </c>
      <c r="T64" s="51">
        <f t="shared" si="62"/>
        <v>-208104</v>
      </c>
      <c r="U64" s="51">
        <f t="shared" si="62"/>
        <v>-305043</v>
      </c>
      <c r="V64" s="51">
        <f t="shared" si="62"/>
        <v>-881271</v>
      </c>
      <c r="W64" s="51">
        <f t="shared" si="62"/>
        <v>-184255</v>
      </c>
      <c r="X64" s="51">
        <f t="shared" si="62"/>
        <v>-208062</v>
      </c>
      <c r="Y64" s="51">
        <f t="shared" si="62"/>
        <v>-265101</v>
      </c>
      <c r="Z64" s="51">
        <f t="shared" si="62"/>
        <v>-196838</v>
      </c>
      <c r="AA64" s="51">
        <f t="shared" si="62"/>
        <v>-854256</v>
      </c>
      <c r="AB64" s="51">
        <f t="shared" si="62"/>
        <v>-302943</v>
      </c>
      <c r="AC64" s="51">
        <f t="shared" si="62"/>
        <v>-542406</v>
      </c>
      <c r="AD64" s="51">
        <f t="shared" si="62"/>
        <v>-846220</v>
      </c>
      <c r="AE64" s="51">
        <f t="shared" si="62"/>
        <v>-363016</v>
      </c>
      <c r="AF64" s="51">
        <f t="shared" si="62"/>
        <v>-2054585</v>
      </c>
      <c r="AG64" s="51">
        <f t="shared" ca="1" si="62"/>
        <v>-1596953.1915402797</v>
      </c>
      <c r="AH64" s="51">
        <f t="shared" ca="1" si="62"/>
        <v>-1891224.984240544</v>
      </c>
      <c r="AI64" s="51">
        <f t="shared" ref="AI64:BN64" ca="1" si="63">AI20+AI37</f>
        <v>-2219458.2125376491</v>
      </c>
      <c r="AJ64" s="51">
        <f t="shared" ca="1" si="63"/>
        <v>-2392330.1476040916</v>
      </c>
      <c r="AK64" s="51">
        <f t="shared" ca="1" si="63"/>
        <v>-2655350.8833659366</v>
      </c>
      <c r="AL64" s="51">
        <f t="shared" ca="1" si="63"/>
        <v>-2587698.1410118365</v>
      </c>
      <c r="AM64" s="51">
        <f t="shared" ca="1" si="63"/>
        <v>-2369012.5761992</v>
      </c>
      <c r="AN64" s="51">
        <f t="shared" ca="1" si="63"/>
        <v>-2064726.7952979868</v>
      </c>
      <c r="AO64" s="51">
        <f t="shared" ca="1" si="63"/>
        <v>-1828137.3740146561</v>
      </c>
      <c r="AP64" s="51">
        <f t="shared" ca="1" si="63"/>
        <v>-1639355.053219323</v>
      </c>
      <c r="AQ64" s="51">
        <f t="shared" ca="1" si="63"/>
        <v>-1457684.5995409428</v>
      </c>
      <c r="AR64" s="51">
        <f t="shared" ca="1" si="63"/>
        <v>-1283119.9727102192</v>
      </c>
      <c r="AS64" s="51">
        <f t="shared" ca="1" si="63"/>
        <v>-1140996.334725976</v>
      </c>
      <c r="AT64" s="51">
        <f t="shared" ca="1" si="63"/>
        <v>-1046619.3330039277</v>
      </c>
      <c r="AU64" s="51">
        <f t="shared" ca="1" si="63"/>
        <v>-932589.41753807059</v>
      </c>
      <c r="AV64" s="51">
        <f t="shared" ca="1" si="63"/>
        <v>-761804.33286916395</v>
      </c>
      <c r="AW64" s="51">
        <f t="shared" ca="1" si="63"/>
        <v>-696697.33130685333</v>
      </c>
      <c r="AX64" s="51">
        <f t="shared" ca="1" si="63"/>
        <v>-643182.37575193064</v>
      </c>
      <c r="AY64" s="51">
        <f t="shared" ca="1" si="63"/>
        <v>-595396.294670515</v>
      </c>
      <c r="AZ64" s="51">
        <f t="shared" ca="1" si="63"/>
        <v>-564354.75797985075</v>
      </c>
      <c r="BA64" s="51">
        <f t="shared" ca="1" si="63"/>
        <v>-528544.82289560908</v>
      </c>
      <c r="BB64" s="51">
        <f t="shared" ca="1" si="63"/>
        <v>-521838.92808162619</v>
      </c>
      <c r="BC64" s="51">
        <f t="shared" ca="1" si="63"/>
        <v>-528272.1710367637</v>
      </c>
      <c r="BD64" s="51">
        <f t="shared" ca="1" si="63"/>
        <v>-547834.74978688557</v>
      </c>
      <c r="BE64" s="51">
        <f t="shared" ca="1" si="63"/>
        <v>-553699.42097995011</v>
      </c>
      <c r="BF64" s="51">
        <f t="shared" ca="1" si="63"/>
        <v>-603081.83312543749</v>
      </c>
      <c r="BG64" s="51">
        <f t="shared" ca="1" si="63"/>
        <v>-717323.58145156072</v>
      </c>
      <c r="BH64" s="51">
        <f t="shared" ca="1" si="63"/>
        <v>-453473.01428149233</v>
      </c>
      <c r="BI64" s="51">
        <f t="shared" ca="1" si="63"/>
        <v>-10173.088515200187</v>
      </c>
      <c r="BJ64" s="51">
        <f t="shared" ca="1" si="63"/>
        <v>0</v>
      </c>
      <c r="BK64" s="51">
        <f t="shared" ca="1" si="63"/>
        <v>0</v>
      </c>
      <c r="BL64" s="51">
        <f t="shared" ca="1" si="63"/>
        <v>0</v>
      </c>
      <c r="BM64" s="51">
        <f t="shared" ca="1" si="63"/>
        <v>0</v>
      </c>
      <c r="BN64" s="51">
        <f t="shared" ca="1" si="63"/>
        <v>0</v>
      </c>
      <c r="BO64" s="51">
        <f t="shared" ref="BO64:BW64" ca="1" si="64">BO20+BO37</f>
        <v>0</v>
      </c>
      <c r="BP64" s="51">
        <f t="shared" ca="1" si="64"/>
        <v>0</v>
      </c>
      <c r="BQ64" s="51">
        <f t="shared" ca="1" si="64"/>
        <v>0</v>
      </c>
      <c r="BR64" s="51">
        <f t="shared" ca="1" si="64"/>
        <v>0</v>
      </c>
      <c r="BS64" s="51">
        <f t="shared" ca="1" si="64"/>
        <v>0</v>
      </c>
      <c r="BT64" s="51">
        <f t="shared" ca="1" si="64"/>
        <v>0</v>
      </c>
      <c r="BU64" s="51">
        <f t="shared" ca="1" si="64"/>
        <v>0</v>
      </c>
      <c r="BV64" s="51">
        <f t="shared" ca="1" si="64"/>
        <v>0</v>
      </c>
      <c r="BW64" s="51">
        <f t="shared" ca="1" si="64"/>
        <v>0</v>
      </c>
    </row>
    <row r="65" spans="1:75" x14ac:dyDescent="0.3">
      <c r="A65" s="38" t="s">
        <v>288</v>
      </c>
      <c r="C65" s="48">
        <f t="shared" ref="C65:AH65" si="65">C63-C64</f>
        <v>24049</v>
      </c>
      <c r="D65" s="48">
        <f t="shared" si="65"/>
        <v>104308</v>
      </c>
      <c r="E65" s="48">
        <f t="shared" si="65"/>
        <v>62765</v>
      </c>
      <c r="F65" s="48">
        <f t="shared" si="65"/>
        <v>51640</v>
      </c>
      <c r="G65" s="48">
        <f t="shared" si="65"/>
        <v>242762</v>
      </c>
      <c r="H65" s="48">
        <f t="shared" si="65"/>
        <v>52456</v>
      </c>
      <c r="I65" s="48">
        <f t="shared" si="65"/>
        <v>303425</v>
      </c>
      <c r="J65" s="48">
        <f t="shared" si="65"/>
        <v>154272</v>
      </c>
      <c r="K65" s="48">
        <f t="shared" si="65"/>
        <v>877061</v>
      </c>
      <c r="L65" s="48">
        <f t="shared" si="65"/>
        <v>1387214</v>
      </c>
      <c r="M65" s="48">
        <f t="shared" si="65"/>
        <v>182567</v>
      </c>
      <c r="N65" s="48">
        <f t="shared" si="65"/>
        <v>321814</v>
      </c>
      <c r="O65" s="48">
        <f t="shared" si="65"/>
        <v>312290</v>
      </c>
      <c r="P65" s="48">
        <f t="shared" si="65"/>
        <v>969878</v>
      </c>
      <c r="Q65" s="48">
        <f t="shared" si="65"/>
        <v>1786549</v>
      </c>
      <c r="R65" s="48">
        <f t="shared" si="65"/>
        <v>448723</v>
      </c>
      <c r="S65" s="48">
        <f t="shared" si="65"/>
        <v>657594</v>
      </c>
      <c r="T65" s="48">
        <f t="shared" si="65"/>
        <v>639832</v>
      </c>
      <c r="U65" s="48">
        <f t="shared" si="65"/>
        <v>1256565</v>
      </c>
      <c r="V65" s="48">
        <f t="shared" si="65"/>
        <v>3002714</v>
      </c>
      <c r="W65" s="48">
        <f t="shared" si="65"/>
        <v>1134968</v>
      </c>
      <c r="X65" s="48">
        <f t="shared" si="65"/>
        <v>1230705</v>
      </c>
      <c r="Y65" s="48">
        <f t="shared" si="65"/>
        <v>1542693</v>
      </c>
      <c r="Z65" s="48">
        <f t="shared" si="65"/>
        <v>862103</v>
      </c>
      <c r="AA65" s="48">
        <f t="shared" si="65"/>
        <v>4770469</v>
      </c>
      <c r="AB65" s="48">
        <f t="shared" si="65"/>
        <v>1822786</v>
      </c>
      <c r="AC65" s="48">
        <f t="shared" si="65"/>
        <v>1723595</v>
      </c>
      <c r="AD65" s="48">
        <f t="shared" si="65"/>
        <v>3078544</v>
      </c>
      <c r="AE65" s="48">
        <f t="shared" si="65"/>
        <v>2585522</v>
      </c>
      <c r="AF65" s="48">
        <f t="shared" si="65"/>
        <v>9210447</v>
      </c>
      <c r="AG65" s="48">
        <f t="shared" ca="1" si="65"/>
        <v>11787316.848519774</v>
      </c>
      <c r="AH65" s="48">
        <f t="shared" ca="1" si="65"/>
        <v>14564049.396417581</v>
      </c>
      <c r="AI65" s="48">
        <f t="shared" ref="AI65:BL65" ca="1" si="66">AI63-AI64</f>
        <v>14557673.520498656</v>
      </c>
      <c r="AJ65" s="48">
        <f t="shared" ca="1" si="66"/>
        <v>14656048.681605905</v>
      </c>
      <c r="AK65" s="48">
        <f t="shared" ca="1" si="66"/>
        <v>13850640.010873307</v>
      </c>
      <c r="AL65" s="48">
        <f t="shared" ca="1" si="66"/>
        <v>13780550.639400324</v>
      </c>
      <c r="AM65" s="48">
        <f t="shared" ca="1" si="66"/>
        <v>12514982.847129399</v>
      </c>
      <c r="AN65" s="48">
        <f t="shared" ca="1" si="66"/>
        <v>10714651.036092889</v>
      </c>
      <c r="AO65" s="48">
        <f t="shared" ca="1" si="66"/>
        <v>9524085.0491440445</v>
      </c>
      <c r="AP65" s="48">
        <f t="shared" ca="1" si="66"/>
        <v>8317076.6037204489</v>
      </c>
      <c r="AQ65" s="48">
        <f t="shared" ca="1" si="66"/>
        <v>7477193.4812285546</v>
      </c>
      <c r="AR65" s="48">
        <f t="shared" ca="1" si="66"/>
        <v>6583412.6823705379</v>
      </c>
      <c r="AS65" s="48">
        <f t="shared" ca="1" si="66"/>
        <v>5686290.7604842708</v>
      </c>
      <c r="AT65" s="48">
        <f t="shared" ca="1" si="66"/>
        <v>4915022.1476734951</v>
      </c>
      <c r="AU65" s="48">
        <f t="shared" ca="1" si="66"/>
        <v>4449046.435536962</v>
      </c>
      <c r="AV65" s="48">
        <f t="shared" ca="1" si="66"/>
        <v>4108119.1211153399</v>
      </c>
      <c r="AW65" s="48">
        <f t="shared" ca="1" si="66"/>
        <v>3384663.8044762695</v>
      </c>
      <c r="AX65" s="48">
        <f t="shared" ca="1" si="66"/>
        <v>3084375.9110359955</v>
      </c>
      <c r="AY65" s="48">
        <f t="shared" ca="1" si="66"/>
        <v>2821986.1666287389</v>
      </c>
      <c r="AZ65" s="48">
        <f t="shared" ca="1" si="66"/>
        <v>2574450.9884939184</v>
      </c>
      <c r="BA65" s="48">
        <f t="shared" ca="1" si="66"/>
        <v>2384782.9894719999</v>
      </c>
      <c r="BB65" s="48">
        <f t="shared" ca="1" si="66"/>
        <v>2169734.7631856035</v>
      </c>
      <c r="BC65" s="48">
        <f t="shared" ca="1" si="66"/>
        <v>2051263.8102237652</v>
      </c>
      <c r="BD65" s="48">
        <f t="shared" ca="1" si="66"/>
        <v>1960787.8179901307</v>
      </c>
      <c r="BE65" s="48">
        <f t="shared" ca="1" si="66"/>
        <v>1885919.9810640789</v>
      </c>
      <c r="BF65" s="48">
        <f t="shared" ca="1" si="66"/>
        <v>1739819.1094550313</v>
      </c>
      <c r="BG65" s="48">
        <f t="shared" ca="1" si="66"/>
        <v>1661718.9157672839</v>
      </c>
      <c r="BH65" s="48">
        <f t="shared" ca="1" si="66"/>
        <v>1616110.0614239043</v>
      </c>
      <c r="BI65" s="48">
        <f t="shared" ca="1" si="66"/>
        <v>1168117.8862675766</v>
      </c>
      <c r="BJ65" s="48">
        <f t="shared" ca="1" si="66"/>
        <v>0</v>
      </c>
      <c r="BK65" s="48">
        <f t="shared" ca="1" si="66"/>
        <v>0</v>
      </c>
      <c r="BL65" s="48">
        <f t="shared" ca="1" si="66"/>
        <v>0</v>
      </c>
      <c r="BM65" s="48">
        <f ca="1">BM63-BM64</f>
        <v>0</v>
      </c>
      <c r="BN65" s="48">
        <f ca="1">BN63-BN64</f>
        <v>0</v>
      </c>
      <c r="BO65" s="48">
        <f ca="1">BO63-BO64</f>
        <v>0</v>
      </c>
      <c r="BP65" s="48">
        <f ca="1">BP63-BP64</f>
        <v>0</v>
      </c>
      <c r="BQ65" s="48">
        <f ca="1">BQ63-BQ64</f>
        <v>0</v>
      </c>
      <c r="BR65" s="48">
        <f t="shared" ref="BR65:BW65" ca="1" si="67">BR63-BR64</f>
        <v>0</v>
      </c>
      <c r="BS65" s="48">
        <f t="shared" ca="1" si="67"/>
        <v>0</v>
      </c>
      <c r="BT65" s="48">
        <f t="shared" ca="1" si="67"/>
        <v>0</v>
      </c>
      <c r="BU65" s="48">
        <f t="shared" ca="1" si="67"/>
        <v>0</v>
      </c>
      <c r="BV65" s="48">
        <f t="shared" ca="1" si="67"/>
        <v>0</v>
      </c>
      <c r="BW65" s="48">
        <f t="shared" ca="1" si="67"/>
        <v>0</v>
      </c>
    </row>
    <row r="66" spans="1:75" x14ac:dyDescent="0.3">
      <c r="A66" s="64" t="s">
        <v>1184</v>
      </c>
      <c r="B66" s="56"/>
      <c r="C66" s="56"/>
      <c r="D66" s="56"/>
      <c r="E66" s="56"/>
      <c r="F66" s="56"/>
      <c r="G66" s="272">
        <f t="shared" ref="G66:AE66" si="68">G65/G16</f>
        <v>0.28596569759223484</v>
      </c>
      <c r="H66" s="272">
        <f t="shared" si="68"/>
        <v>0.37621475855441044</v>
      </c>
      <c r="I66" s="272">
        <f t="shared" si="68"/>
        <v>0.55382158339037191</v>
      </c>
      <c r="J66" s="272">
        <f t="shared" si="68"/>
        <v>0.38660301469759051</v>
      </c>
      <c r="K66" s="272">
        <f t="shared" si="68"/>
        <v>1.5718079911110314</v>
      </c>
      <c r="L66" s="272">
        <f t="shared" si="68"/>
        <v>0.8436265846725689</v>
      </c>
      <c r="M66" s="272">
        <f t="shared" si="68"/>
        <v>0.81809178982084763</v>
      </c>
      <c r="N66" s="272">
        <f t="shared" si="68"/>
        <v>1.0304873948503488</v>
      </c>
      <c r="O66" s="272">
        <f t="shared" si="68"/>
        <v>0.63902843286712574</v>
      </c>
      <c r="P66" s="272">
        <f t="shared" si="68"/>
        <v>1.1020902577738385</v>
      </c>
      <c r="Q66" s="272">
        <f t="shared" si="68"/>
        <v>0.93822238910610056</v>
      </c>
      <c r="R66" s="272">
        <f t="shared" si="68"/>
        <v>0.68472412540780736</v>
      </c>
      <c r="S66" s="272">
        <f t="shared" si="68"/>
        <v>0.64291182270488845</v>
      </c>
      <c r="T66" s="272">
        <f t="shared" si="68"/>
        <v>0.68102226995360382</v>
      </c>
      <c r="U66" s="272">
        <f t="shared" si="68"/>
        <v>0.70660428551747023</v>
      </c>
      <c r="V66" s="272">
        <f t="shared" si="68"/>
        <v>0.6830554938201816</v>
      </c>
      <c r="W66" s="272">
        <f t="shared" si="68"/>
        <v>0.74181157454762925</v>
      </c>
      <c r="X66" s="272">
        <f t="shared" si="68"/>
        <v>0.65673151065776936</v>
      </c>
      <c r="Y66" s="272">
        <f t="shared" si="68"/>
        <v>0.77686769873490902</v>
      </c>
      <c r="Z66" s="272">
        <f t="shared" si="68"/>
        <v>0.88538053977112263</v>
      </c>
      <c r="AA66" s="272">
        <f t="shared" si="68"/>
        <v>0.74966413791206854</v>
      </c>
      <c r="AB66" s="272">
        <f t="shared" si="68"/>
        <v>0.64753646150648947</v>
      </c>
      <c r="AC66" s="272">
        <f t="shared" si="68"/>
        <v>0.74575567906971507</v>
      </c>
      <c r="AD66" s="272">
        <f t="shared" si="68"/>
        <v>0.81363708683763591</v>
      </c>
      <c r="AE66" s="272">
        <f t="shared" si="68"/>
        <v>0.86322239798504141</v>
      </c>
      <c r="AF66" s="272">
        <f>AF65/AF16</f>
        <v>0.77365941032878427</v>
      </c>
      <c r="AG66" s="272">
        <f t="shared" ref="AG66:BW66" ca="1" si="69">AG65/AG16</f>
        <v>0.71916038383400982</v>
      </c>
      <c r="AH66" s="272">
        <f t="shared" ca="1" si="69"/>
        <v>0.71661650863738535</v>
      </c>
      <c r="AI66" s="272">
        <f t="shared" ca="1" si="69"/>
        <v>0.7025258339337882</v>
      </c>
      <c r="AJ66" s="272">
        <f t="shared" ca="1" si="69"/>
        <v>0.68732492425961456</v>
      </c>
      <c r="AK66" s="272">
        <f t="shared" ca="1" si="69"/>
        <v>0.67389069144187008</v>
      </c>
      <c r="AL66" s="272">
        <f t="shared" ca="1" si="69"/>
        <v>0.66312606541096375</v>
      </c>
      <c r="AM66" s="272">
        <f t="shared" ca="1" si="69"/>
        <v>0.66001397140441997</v>
      </c>
      <c r="AN66" s="272">
        <f t="shared" ca="1" si="69"/>
        <v>0.66039267780867306</v>
      </c>
      <c r="AO66" s="272">
        <f t="shared" ca="1" si="69"/>
        <v>0.65901832998977805</v>
      </c>
      <c r="AP66" s="272">
        <f t="shared" ca="1" si="69"/>
        <v>0.63941014704980981</v>
      </c>
      <c r="AQ66" s="272">
        <f t="shared" ca="1" si="69"/>
        <v>0.63375695523253672</v>
      </c>
      <c r="AR66" s="272">
        <f t="shared" ca="1" si="69"/>
        <v>0.62282239874401313</v>
      </c>
      <c r="AS66" s="272">
        <f t="shared" ca="1" si="69"/>
        <v>0.60935431383492422</v>
      </c>
      <c r="AT66" s="272">
        <f t="shared" ca="1" si="69"/>
        <v>0.5939494899266895</v>
      </c>
      <c r="AU66" s="272">
        <f t="shared" ca="1" si="69"/>
        <v>0.5919780337334305</v>
      </c>
      <c r="AV66" s="272">
        <f t="shared" ca="1" si="69"/>
        <v>0.59880264590772503</v>
      </c>
      <c r="AW66" s="272">
        <f t="shared" ca="1" si="69"/>
        <v>0.60780142902203371</v>
      </c>
      <c r="AX66" s="272">
        <f t="shared" ca="1" si="69"/>
        <v>0.61372642146767298</v>
      </c>
      <c r="AY66" s="272">
        <f t="shared" ca="1" si="69"/>
        <v>0.62032636557762988</v>
      </c>
      <c r="AZ66" s="272">
        <f t="shared" ca="1" si="69"/>
        <v>0.62814231548332045</v>
      </c>
      <c r="BA66" s="272">
        <f t="shared" ca="1" si="69"/>
        <v>0.63597280441182236</v>
      </c>
      <c r="BB66" s="272">
        <f t="shared" ca="1" si="69"/>
        <v>0.6465619719385407</v>
      </c>
      <c r="BC66" s="272">
        <f t="shared" ca="1" si="69"/>
        <v>0.65487732310367974</v>
      </c>
      <c r="BD66" s="272">
        <f t="shared" ca="1" si="69"/>
        <v>0.66292555104520967</v>
      </c>
      <c r="BE66" s="272">
        <f t="shared" ca="1" si="69"/>
        <v>0.67099533080534635</v>
      </c>
      <c r="BF66" s="272">
        <f t="shared" ca="1" si="69"/>
        <v>0.68580968670132325</v>
      </c>
      <c r="BG66" s="272">
        <f t="shared" ca="1" si="69"/>
        <v>0.69746961798142748</v>
      </c>
      <c r="BH66" s="272">
        <f t="shared" ca="1" si="69"/>
        <v>0.70725748979857417</v>
      </c>
      <c r="BI66" s="272">
        <f t="shared" ca="1" si="69"/>
        <v>0.7911080677293344</v>
      </c>
      <c r="BJ66" s="272" t="e">
        <f t="shared" ca="1" si="69"/>
        <v>#DIV/0!</v>
      </c>
      <c r="BK66" s="272" t="e">
        <f t="shared" ca="1" si="69"/>
        <v>#DIV/0!</v>
      </c>
      <c r="BL66" s="272" t="e">
        <f t="shared" ca="1" si="69"/>
        <v>#DIV/0!</v>
      </c>
      <c r="BM66" s="272" t="e">
        <f t="shared" ca="1" si="69"/>
        <v>#DIV/0!</v>
      </c>
      <c r="BN66" s="272" t="e">
        <f t="shared" ca="1" si="69"/>
        <v>#DIV/0!</v>
      </c>
      <c r="BO66" s="272" t="e">
        <f t="shared" ca="1" si="69"/>
        <v>#DIV/0!</v>
      </c>
      <c r="BP66" s="272" t="e">
        <f t="shared" ca="1" si="69"/>
        <v>#DIV/0!</v>
      </c>
      <c r="BQ66" s="272" t="e">
        <f t="shared" ca="1" si="69"/>
        <v>#DIV/0!</v>
      </c>
      <c r="BR66" s="272" t="e">
        <f t="shared" ca="1" si="69"/>
        <v>#DIV/0!</v>
      </c>
      <c r="BS66" s="272" t="e">
        <f t="shared" ca="1" si="69"/>
        <v>#DIV/0!</v>
      </c>
      <c r="BT66" s="272" t="e">
        <f t="shared" ca="1" si="69"/>
        <v>#DIV/0!</v>
      </c>
      <c r="BU66" s="272" t="e">
        <f t="shared" ca="1" si="69"/>
        <v>#DIV/0!</v>
      </c>
      <c r="BV66" s="272" t="e">
        <f t="shared" ca="1" si="69"/>
        <v>#DIV/0!</v>
      </c>
      <c r="BW66" s="272" t="e">
        <f t="shared" ca="1" si="69"/>
        <v>#DIV/0!</v>
      </c>
    </row>
    <row r="67" spans="1:75" x14ac:dyDescent="0.3">
      <c r="A67" s="38" t="s">
        <v>512</v>
      </c>
      <c r="C67" s="56"/>
      <c r="D67" s="56"/>
      <c r="E67" s="56"/>
      <c r="F67" s="56"/>
      <c r="G67" s="48">
        <f>G65</f>
        <v>242762</v>
      </c>
      <c r="H67" s="51">
        <f>H65+F65+E65+D65</f>
        <v>271169</v>
      </c>
      <c r="I67" s="51">
        <f>I65+H65+F65+E65</f>
        <v>470286</v>
      </c>
      <c r="J67" s="51">
        <f>J65+I65+H65+F65</f>
        <v>561793</v>
      </c>
      <c r="K67" s="51">
        <f>K65+J65+I65+H65</f>
        <v>1387214</v>
      </c>
      <c r="L67" s="91">
        <f>L65</f>
        <v>1387214</v>
      </c>
      <c r="M67" s="51">
        <f>M65+K65+J65+I65</f>
        <v>1517325</v>
      </c>
      <c r="N67" s="51">
        <f>N65+M65+K65+J65</f>
        <v>1535714</v>
      </c>
      <c r="O67" s="51">
        <f>O65+N65+M65+K65</f>
        <v>1693732</v>
      </c>
      <c r="P67" s="51">
        <f>P65+O65+N65+M65</f>
        <v>1786549</v>
      </c>
      <c r="Q67" s="91">
        <f>Q65</f>
        <v>1786549</v>
      </c>
      <c r="R67" s="51">
        <f>R65+P65+O65+N65</f>
        <v>2052705</v>
      </c>
      <c r="S67" s="51">
        <f>S65+R65+P65+O65</f>
        <v>2388485</v>
      </c>
      <c r="T67" s="51">
        <f>T65+S65+R65+P65</f>
        <v>2716027</v>
      </c>
      <c r="U67" s="51">
        <f>U65+T65+S65+R65</f>
        <v>3002714</v>
      </c>
      <c r="V67" s="91">
        <f>V65</f>
        <v>3002714</v>
      </c>
      <c r="W67" s="51">
        <f>W65+U65+T65+S65</f>
        <v>3688959</v>
      </c>
      <c r="X67" s="51">
        <f>X65+W65+U65+T65</f>
        <v>4262070</v>
      </c>
      <c r="Y67" s="51">
        <f>Y65+X65+W65+U65</f>
        <v>5164931</v>
      </c>
      <c r="Z67" s="51">
        <f>Z65+Y65+X65+W65</f>
        <v>4770469</v>
      </c>
      <c r="AA67" s="91">
        <f>AA65</f>
        <v>4770469</v>
      </c>
      <c r="AB67" s="51">
        <f>AB65+Z65+Y65+X65</f>
        <v>5458287</v>
      </c>
      <c r="AC67" s="51">
        <f>AC65+AB65+Z65+Y65</f>
        <v>5951177</v>
      </c>
      <c r="AD67" s="51">
        <f>AD65+AC65+AB65+Z65</f>
        <v>7487028</v>
      </c>
      <c r="AE67" s="51">
        <f>AE65+AD65+AC65+AB65</f>
        <v>9210447</v>
      </c>
      <c r="AF67" s="48">
        <f t="shared" ref="AF67:BL67" si="70">AF65</f>
        <v>9210447</v>
      </c>
      <c r="AG67" s="48">
        <f t="shared" ca="1" si="70"/>
        <v>11787316.848519774</v>
      </c>
      <c r="AH67" s="48">
        <f t="shared" ca="1" si="70"/>
        <v>14564049.396417581</v>
      </c>
      <c r="AI67" s="48">
        <f t="shared" ca="1" si="70"/>
        <v>14557673.520498656</v>
      </c>
      <c r="AJ67" s="48">
        <f t="shared" ca="1" si="70"/>
        <v>14656048.681605905</v>
      </c>
      <c r="AK67" s="48">
        <f t="shared" ca="1" si="70"/>
        <v>13850640.010873307</v>
      </c>
      <c r="AL67" s="48">
        <f t="shared" ca="1" si="70"/>
        <v>13780550.639400324</v>
      </c>
      <c r="AM67" s="48">
        <f t="shared" ca="1" si="70"/>
        <v>12514982.847129399</v>
      </c>
      <c r="AN67" s="48">
        <f t="shared" ca="1" si="70"/>
        <v>10714651.036092889</v>
      </c>
      <c r="AO67" s="48">
        <f t="shared" ca="1" si="70"/>
        <v>9524085.0491440445</v>
      </c>
      <c r="AP67" s="48">
        <f t="shared" ca="1" si="70"/>
        <v>8317076.6037204489</v>
      </c>
      <c r="AQ67" s="48">
        <f t="shared" ca="1" si="70"/>
        <v>7477193.4812285546</v>
      </c>
      <c r="AR67" s="48">
        <f t="shared" ca="1" si="70"/>
        <v>6583412.6823705379</v>
      </c>
      <c r="AS67" s="48">
        <f t="shared" ca="1" si="70"/>
        <v>5686290.7604842708</v>
      </c>
      <c r="AT67" s="48">
        <f t="shared" ca="1" si="70"/>
        <v>4915022.1476734951</v>
      </c>
      <c r="AU67" s="48">
        <f t="shared" ca="1" si="70"/>
        <v>4449046.435536962</v>
      </c>
      <c r="AV67" s="48">
        <f t="shared" ca="1" si="70"/>
        <v>4108119.1211153399</v>
      </c>
      <c r="AW67" s="48">
        <f t="shared" ca="1" si="70"/>
        <v>3384663.8044762695</v>
      </c>
      <c r="AX67" s="48">
        <f t="shared" ca="1" si="70"/>
        <v>3084375.9110359955</v>
      </c>
      <c r="AY67" s="48">
        <f t="shared" ca="1" si="70"/>
        <v>2821986.1666287389</v>
      </c>
      <c r="AZ67" s="48">
        <f t="shared" ca="1" si="70"/>
        <v>2574450.9884939184</v>
      </c>
      <c r="BA67" s="48">
        <f t="shared" ca="1" si="70"/>
        <v>2384782.9894719999</v>
      </c>
      <c r="BB67" s="48">
        <f t="shared" ca="1" si="70"/>
        <v>2169734.7631856035</v>
      </c>
      <c r="BC67" s="48">
        <f t="shared" ca="1" si="70"/>
        <v>2051263.8102237652</v>
      </c>
      <c r="BD67" s="48">
        <f t="shared" ca="1" si="70"/>
        <v>1960787.8179901307</v>
      </c>
      <c r="BE67" s="48">
        <f t="shared" ca="1" si="70"/>
        <v>1885919.9810640789</v>
      </c>
      <c r="BF67" s="48">
        <f t="shared" ca="1" si="70"/>
        <v>1739819.1094550313</v>
      </c>
      <c r="BG67" s="48">
        <f t="shared" ca="1" si="70"/>
        <v>1661718.9157672839</v>
      </c>
      <c r="BH67" s="48">
        <f t="shared" ca="1" si="70"/>
        <v>1616110.0614239043</v>
      </c>
      <c r="BI67" s="48">
        <f t="shared" ca="1" si="70"/>
        <v>1168117.8862675766</v>
      </c>
      <c r="BJ67" s="48">
        <f t="shared" ca="1" si="70"/>
        <v>0</v>
      </c>
      <c r="BK67" s="48">
        <f t="shared" ca="1" si="70"/>
        <v>0</v>
      </c>
      <c r="BL67" s="48">
        <f t="shared" ca="1" si="70"/>
        <v>0</v>
      </c>
      <c r="BM67" s="48">
        <f ca="1">BM65</f>
        <v>0</v>
      </c>
      <c r="BN67" s="48">
        <f ca="1">BN65</f>
        <v>0</v>
      </c>
      <c r="BO67" s="48">
        <f ca="1">BO65</f>
        <v>0</v>
      </c>
      <c r="BP67" s="48">
        <f ca="1">BP65</f>
        <v>0</v>
      </c>
      <c r="BQ67" s="48">
        <f ca="1">BQ65</f>
        <v>0</v>
      </c>
      <c r="BR67" s="48">
        <f t="shared" ref="BR67:BW67" ca="1" si="71">BR65</f>
        <v>0</v>
      </c>
      <c r="BS67" s="48">
        <f t="shared" ca="1" si="71"/>
        <v>0</v>
      </c>
      <c r="BT67" s="48">
        <f t="shared" ca="1" si="71"/>
        <v>0</v>
      </c>
      <c r="BU67" s="48">
        <f t="shared" ca="1" si="71"/>
        <v>0</v>
      </c>
      <c r="BV67" s="48">
        <f t="shared" ca="1" si="71"/>
        <v>0</v>
      </c>
      <c r="BW67" s="48">
        <f t="shared" ca="1" si="71"/>
        <v>0</v>
      </c>
    </row>
    <row r="68" spans="1:75" x14ac:dyDescent="0.3">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row>
    <row r="69" spans="1:75" s="37" customFormat="1" x14ac:dyDescent="0.3">
      <c r="A69" s="37" t="s">
        <v>248</v>
      </c>
    </row>
    <row r="71" spans="1:75" x14ac:dyDescent="0.3">
      <c r="A71" s="38" t="s">
        <v>548</v>
      </c>
      <c r="AG71" s="48">
        <f t="shared" ref="AG71:BW71" ca="1" si="72">AG75+AG74+AG73+AG72+AG76</f>
        <v>5901451.9122074675</v>
      </c>
      <c r="AH71" s="48">
        <f t="shared" ca="1" si="72"/>
        <v>9762638.1758061852</v>
      </c>
      <c r="AI71" s="48">
        <f t="shared" ca="1" si="72"/>
        <v>10357536.365231546</v>
      </c>
      <c r="AJ71" s="48">
        <f t="shared" ca="1" si="72"/>
        <v>10581190.21739573</v>
      </c>
      <c r="AK71" s="48">
        <f t="shared" ca="1" si="72"/>
        <v>10292002.187175399</v>
      </c>
      <c r="AL71" s="48">
        <f t="shared" ca="1" si="72"/>
        <v>10035453.42751975</v>
      </c>
      <c r="AM71" s="48">
        <f t="shared" ca="1" si="72"/>
        <v>9468036.4422909208</v>
      </c>
      <c r="AN71" s="48">
        <f t="shared" ca="1" si="72"/>
        <v>8280208.3513604626</v>
      </c>
      <c r="AO71" s="48">
        <f t="shared" ca="1" si="72"/>
        <v>7239856.3349772589</v>
      </c>
      <c r="AP71" s="48">
        <f t="shared" ca="1" si="72"/>
        <v>6321707.8680402637</v>
      </c>
      <c r="AQ71" s="48">
        <f t="shared" ca="1" si="72"/>
        <v>5680825.1137077138</v>
      </c>
      <c r="AR71" s="48">
        <f t="shared" ca="1" si="72"/>
        <v>5027370.9017315963</v>
      </c>
      <c r="AS71" s="48">
        <f t="shared" ca="1" si="72"/>
        <v>4383429.9427459519</v>
      </c>
      <c r="AT71" s="48">
        <f t="shared" ca="1" si="72"/>
        <v>3805795.3840100346</v>
      </c>
      <c r="AU71" s="48">
        <f t="shared" ca="1" si="72"/>
        <v>3413227.5412667277</v>
      </c>
      <c r="AV71" s="48">
        <f t="shared" ca="1" si="72"/>
        <v>3099864.6781932609</v>
      </c>
      <c r="AW71" s="48">
        <f t="shared" ca="1" si="72"/>
        <v>1970447.6903904404</v>
      </c>
      <c r="AX71" s="48">
        <f t="shared" ca="1" si="72"/>
        <v>2367837.7770538912</v>
      </c>
      <c r="AY71" s="48">
        <f t="shared" ca="1" si="72"/>
        <v>2166340.8105391818</v>
      </c>
      <c r="AZ71" s="48">
        <f t="shared" ca="1" si="72"/>
        <v>1985620.6017762967</v>
      </c>
      <c r="BA71" s="48">
        <f t="shared" ca="1" si="72"/>
        <v>1827542.8315804075</v>
      </c>
      <c r="BB71" s="48">
        <f t="shared" ca="1" si="72"/>
        <v>1686561.7790358984</v>
      </c>
      <c r="BC71" s="48">
        <f t="shared" ca="1" si="72"/>
        <v>1584288.8001382682</v>
      </c>
      <c r="BD71" s="48">
        <f t="shared" ca="1" si="72"/>
        <v>1522843.4755103784</v>
      </c>
      <c r="BE71" s="48">
        <f t="shared" ca="1" si="72"/>
        <v>1471080.7078210465</v>
      </c>
      <c r="BF71" s="48">
        <f t="shared" ca="1" si="72"/>
        <v>1408015.8865064161</v>
      </c>
      <c r="BG71" s="48">
        <f t="shared" ca="1" si="72"/>
        <v>1376825.435987548</v>
      </c>
      <c r="BH71" s="48">
        <f t="shared" ca="1" si="72"/>
        <v>1247849.6661323551</v>
      </c>
      <c r="BI71" s="48">
        <f t="shared" ca="1" si="72"/>
        <v>905529.10129848868</v>
      </c>
      <c r="BJ71" s="48">
        <f t="shared" ca="1" si="72"/>
        <v>-10869625.044523465</v>
      </c>
      <c r="BK71" s="48">
        <f t="shared" ca="1" si="72"/>
        <v>0</v>
      </c>
      <c r="BL71" s="48">
        <f t="shared" ca="1" si="72"/>
        <v>0</v>
      </c>
      <c r="BM71" s="48">
        <f t="shared" ca="1" si="72"/>
        <v>0</v>
      </c>
      <c r="BN71" s="48">
        <f t="shared" ca="1" si="72"/>
        <v>0</v>
      </c>
      <c r="BO71" s="48">
        <f t="shared" ca="1" si="72"/>
        <v>0</v>
      </c>
      <c r="BP71" s="48">
        <f t="shared" ca="1" si="72"/>
        <v>0</v>
      </c>
      <c r="BQ71" s="48">
        <f t="shared" ca="1" si="72"/>
        <v>0</v>
      </c>
      <c r="BR71" s="48">
        <f t="shared" ca="1" si="72"/>
        <v>0</v>
      </c>
      <c r="BS71" s="48">
        <f t="shared" ca="1" si="72"/>
        <v>0</v>
      </c>
      <c r="BT71" s="48">
        <f t="shared" ca="1" si="72"/>
        <v>0</v>
      </c>
      <c r="BU71" s="48">
        <f t="shared" ca="1" si="72"/>
        <v>0</v>
      </c>
      <c r="BV71" s="48">
        <f t="shared" ca="1" si="72"/>
        <v>0</v>
      </c>
      <c r="BW71" s="48">
        <f t="shared" ca="1" si="72"/>
        <v>0</v>
      </c>
    </row>
    <row r="72" spans="1:75" x14ac:dyDescent="0.3">
      <c r="A72" s="42" t="s">
        <v>531</v>
      </c>
      <c r="AG72" s="48">
        <f t="shared" ref="AG72:AH72" ca="1" si="73">AG59</f>
        <v>6520005.5696372055</v>
      </c>
      <c r="AH72" s="48">
        <f t="shared" ca="1" si="73"/>
        <v>8510761.3755547088</v>
      </c>
      <c r="AI72" s="48">
        <f t="shared" ref="AI72:BN72" ca="1" si="74">AI59</f>
        <v>8225410.7674987279</v>
      </c>
      <c r="AJ72" s="48">
        <f t="shared" ca="1" si="74"/>
        <v>8204616.5692923423</v>
      </c>
      <c r="AK72" s="48">
        <f t="shared" ca="1" si="74"/>
        <v>7500719.0516192587</v>
      </c>
      <c r="AL72" s="48">
        <f t="shared" ca="1" si="74"/>
        <v>7500750.8743293891</v>
      </c>
      <c r="AM72" s="48">
        <f t="shared" ca="1" si="74"/>
        <v>6811067.0389197944</v>
      </c>
      <c r="AN72" s="48">
        <f t="shared" ca="1" si="74"/>
        <v>5811805.9893464185</v>
      </c>
      <c r="AO72" s="48">
        <f t="shared" ca="1" si="74"/>
        <v>5167334.6998747587</v>
      </c>
      <c r="AP72" s="48">
        <f t="shared" ca="1" si="74"/>
        <v>4485689.3942191806</v>
      </c>
      <c r="AQ72" s="48">
        <f t="shared" ca="1" si="74"/>
        <v>4054682.3771434873</v>
      </c>
      <c r="AR72" s="48">
        <f t="shared" ca="1" si="74"/>
        <v>3572394.6731558535</v>
      </c>
      <c r="AS72" s="48">
        <f t="shared" ca="1" si="74"/>
        <v>3066373.1823873022</v>
      </c>
      <c r="AT72" s="48">
        <f t="shared" ca="1" si="74"/>
        <v>2611834.7467161207</v>
      </c>
      <c r="AU72" s="48">
        <f t="shared" ca="1" si="74"/>
        <v>2372905.8730857754</v>
      </c>
      <c r="AV72" s="48">
        <f t="shared" ca="1" si="74"/>
        <v>2255834.7627940122</v>
      </c>
      <c r="AW72" s="48">
        <f t="shared" ca="1" si="74"/>
        <v>1817205.4115937976</v>
      </c>
      <c r="AX72" s="48">
        <f t="shared" ca="1" si="74"/>
        <v>1646210.5068155662</v>
      </c>
      <c r="AY72" s="48">
        <f t="shared" ca="1" si="74"/>
        <v>1501156.7464338467</v>
      </c>
      <c r="AZ72" s="48">
        <f t="shared" ca="1" si="74"/>
        <v>1355274.4013596051</v>
      </c>
      <c r="BA72" s="48">
        <f t="shared" ca="1" si="74"/>
        <v>1247170.7284282311</v>
      </c>
      <c r="BB72" s="48">
        <f t="shared" ca="1" si="74"/>
        <v>1107788.5035036006</v>
      </c>
      <c r="BC72" s="48">
        <f t="shared" ca="1" si="74"/>
        <v>1023231.5898105385</v>
      </c>
      <c r="BD72" s="48">
        <f t="shared" ca="1" si="74"/>
        <v>949403.42400270584</v>
      </c>
      <c r="BE72" s="48">
        <f t="shared" ca="1" si="74"/>
        <v>895180.96922707302</v>
      </c>
      <c r="BF72" s="48">
        <f t="shared" ca="1" si="74"/>
        <v>765370.2123417221</v>
      </c>
      <c r="BG72" s="48">
        <f t="shared" ca="1" si="74"/>
        <v>636951.53465195221</v>
      </c>
      <c r="BH72" s="48">
        <f t="shared" ca="1" si="74"/>
        <v>780160.3315255323</v>
      </c>
      <c r="BI72" s="48">
        <f t="shared" ca="1" si="74"/>
        <v>776539.0350720014</v>
      </c>
      <c r="BJ72" s="48">
        <f t="shared" ca="1" si="74"/>
        <v>0</v>
      </c>
      <c r="BK72" s="48">
        <f t="shared" ca="1" si="74"/>
        <v>0</v>
      </c>
      <c r="BL72" s="48">
        <f t="shared" ca="1" si="74"/>
        <v>0</v>
      </c>
      <c r="BM72" s="48">
        <f t="shared" ca="1" si="74"/>
        <v>0</v>
      </c>
      <c r="BN72" s="48">
        <f t="shared" ca="1" si="74"/>
        <v>0</v>
      </c>
      <c r="BO72" s="48">
        <f t="shared" ref="BO72:BW72" ca="1" si="75">BO59</f>
        <v>0</v>
      </c>
      <c r="BP72" s="48">
        <f t="shared" ca="1" si="75"/>
        <v>0</v>
      </c>
      <c r="BQ72" s="48">
        <f t="shared" ca="1" si="75"/>
        <v>0</v>
      </c>
      <c r="BR72" s="48">
        <f t="shared" ca="1" si="75"/>
        <v>0</v>
      </c>
      <c r="BS72" s="48">
        <f t="shared" ca="1" si="75"/>
        <v>0</v>
      </c>
      <c r="BT72" s="48">
        <f t="shared" ca="1" si="75"/>
        <v>0</v>
      </c>
      <c r="BU72" s="48">
        <f t="shared" ca="1" si="75"/>
        <v>0</v>
      </c>
      <c r="BV72" s="48">
        <f t="shared" ca="1" si="75"/>
        <v>0</v>
      </c>
      <c r="BW72" s="48">
        <f t="shared" ca="1" si="75"/>
        <v>0</v>
      </c>
    </row>
    <row r="73" spans="1:75" x14ac:dyDescent="0.3">
      <c r="A73" s="42" t="s">
        <v>532</v>
      </c>
      <c r="AG73" s="51">
        <f t="shared" ref="AG73:BW73" ca="1" si="76">-AG20-AG37</f>
        <v>1596953.1915402797</v>
      </c>
      <c r="AH73" s="51">
        <f t="shared" ca="1" si="76"/>
        <v>1891224.984240544</v>
      </c>
      <c r="AI73" s="51">
        <f t="shared" ca="1" si="76"/>
        <v>2219458.2125376491</v>
      </c>
      <c r="AJ73" s="51">
        <f t="shared" ca="1" si="76"/>
        <v>2392330.1476040916</v>
      </c>
      <c r="AK73" s="51">
        <f t="shared" ca="1" si="76"/>
        <v>2655350.8833659366</v>
      </c>
      <c r="AL73" s="51">
        <f t="shared" ca="1" si="76"/>
        <v>2587698.1410118365</v>
      </c>
      <c r="AM73" s="51">
        <f t="shared" ca="1" si="76"/>
        <v>2369012.5761992</v>
      </c>
      <c r="AN73" s="51">
        <f t="shared" ca="1" si="76"/>
        <v>2064726.7952979868</v>
      </c>
      <c r="AO73" s="51">
        <f t="shared" ca="1" si="76"/>
        <v>1828137.3740146561</v>
      </c>
      <c r="AP73" s="51">
        <f t="shared" ca="1" si="76"/>
        <v>1639355.053219323</v>
      </c>
      <c r="AQ73" s="51">
        <f t="shared" ca="1" si="76"/>
        <v>1457684.5995409428</v>
      </c>
      <c r="AR73" s="51">
        <f t="shared" ca="1" si="76"/>
        <v>1283119.9727102192</v>
      </c>
      <c r="AS73" s="51">
        <f t="shared" ca="1" si="76"/>
        <v>1140996.334725976</v>
      </c>
      <c r="AT73" s="51">
        <f t="shared" ca="1" si="76"/>
        <v>1046619.3330039277</v>
      </c>
      <c r="AU73" s="51">
        <f t="shared" ca="1" si="76"/>
        <v>932589.41753807059</v>
      </c>
      <c r="AV73" s="51">
        <f t="shared" ca="1" si="76"/>
        <v>761804.33286916395</v>
      </c>
      <c r="AW73" s="51">
        <f t="shared" ca="1" si="76"/>
        <v>696697.33130685333</v>
      </c>
      <c r="AX73" s="51">
        <f t="shared" ca="1" si="76"/>
        <v>643182.37575193064</v>
      </c>
      <c r="AY73" s="51">
        <f t="shared" ca="1" si="76"/>
        <v>595396.294670515</v>
      </c>
      <c r="AZ73" s="51">
        <f t="shared" ca="1" si="76"/>
        <v>564354.75797985075</v>
      </c>
      <c r="BA73" s="51">
        <f t="shared" ca="1" si="76"/>
        <v>528544.82289560908</v>
      </c>
      <c r="BB73" s="51">
        <f t="shared" ca="1" si="76"/>
        <v>521838.92808162619</v>
      </c>
      <c r="BC73" s="51">
        <f t="shared" ca="1" si="76"/>
        <v>528272.1710367637</v>
      </c>
      <c r="BD73" s="51">
        <f t="shared" ca="1" si="76"/>
        <v>547834.74978688557</v>
      </c>
      <c r="BE73" s="51">
        <f t="shared" ca="1" si="76"/>
        <v>553699.42097995011</v>
      </c>
      <c r="BF73" s="51">
        <f t="shared" ca="1" si="76"/>
        <v>603081.83312543749</v>
      </c>
      <c r="BG73" s="51">
        <f t="shared" ca="1" si="76"/>
        <v>717323.58145156072</v>
      </c>
      <c r="BH73" s="51">
        <f t="shared" ca="1" si="76"/>
        <v>453473.01428149233</v>
      </c>
      <c r="BI73" s="51">
        <f t="shared" ca="1" si="76"/>
        <v>10173.088515200187</v>
      </c>
      <c r="BJ73" s="51">
        <f t="shared" ca="1" si="76"/>
        <v>0</v>
      </c>
      <c r="BK73" s="51">
        <f t="shared" ca="1" si="76"/>
        <v>0</v>
      </c>
      <c r="BL73" s="51">
        <f t="shared" ca="1" si="76"/>
        <v>0</v>
      </c>
      <c r="BM73" s="51">
        <f t="shared" ca="1" si="76"/>
        <v>0</v>
      </c>
      <c r="BN73" s="51">
        <f t="shared" ca="1" si="76"/>
        <v>0</v>
      </c>
      <c r="BO73" s="51">
        <f t="shared" ca="1" si="76"/>
        <v>0</v>
      </c>
      <c r="BP73" s="51">
        <f t="shared" ca="1" si="76"/>
        <v>0</v>
      </c>
      <c r="BQ73" s="51">
        <f t="shared" ca="1" si="76"/>
        <v>0</v>
      </c>
      <c r="BR73" s="51">
        <f t="shared" ca="1" si="76"/>
        <v>0</v>
      </c>
      <c r="BS73" s="51">
        <f t="shared" ca="1" si="76"/>
        <v>0</v>
      </c>
      <c r="BT73" s="51">
        <f t="shared" ca="1" si="76"/>
        <v>0</v>
      </c>
      <c r="BU73" s="51">
        <f t="shared" ca="1" si="76"/>
        <v>0</v>
      </c>
      <c r="BV73" s="51">
        <f t="shared" ca="1" si="76"/>
        <v>0</v>
      </c>
      <c r="BW73" s="51">
        <f t="shared" ca="1" si="76"/>
        <v>0</v>
      </c>
    </row>
    <row r="74" spans="1:75" x14ac:dyDescent="0.3">
      <c r="A74" s="42" t="s">
        <v>15</v>
      </c>
      <c r="AG74" s="51">
        <f ca="1">-'CAPEX, Impostos e Abandono ($)'!AG38*'Fluxo de Caixa dos Acionistas'!AG9*1000</f>
        <v>-57710.249999999985</v>
      </c>
      <c r="AH74" s="51">
        <f ca="1">-'CAPEX, Impostos e Abandono ($)'!AH38*'Fluxo de Caixa dos Acionistas'!AH9*1000</f>
        <v>-58866.841799999987</v>
      </c>
      <c r="AI74" s="51">
        <f ca="1">-'CAPEX, Impostos e Abandono ($)'!AI38*'Fluxo de Caixa dos Acionistas'!AI9*1000</f>
        <v>-121726.8</v>
      </c>
      <c r="AJ74" s="51">
        <f ca="1">-'CAPEX, Impostos e Abandono ($)'!AJ38*'Fluxo de Caixa dos Acionistas'!AJ9*1000</f>
        <v>0</v>
      </c>
      <c r="AK74" s="51">
        <f ca="1">-'CAPEX, Impostos e Abandono ($)'!AK38*'Fluxo de Caixa dos Acionistas'!AK9*1000</f>
        <v>-64588.726987199989</v>
      </c>
      <c r="AL74" s="51">
        <f ca="1">-'CAPEX, Impostos e Abandono ($)'!AL38*'Fluxo de Caixa dos Acionistas'!AL9*1000</f>
        <v>-66526.388796815998</v>
      </c>
      <c r="AM74" s="51">
        <f ca="1">-'CAPEX, Impostos e Abandono ($)'!AM38*'Fluxo de Caixa dos Acionistas'!AM9*1000</f>
        <v>0</v>
      </c>
      <c r="AN74" s="51">
        <f ca="1">-'CAPEX, Impostos e Abandono ($)'!AN38*'Fluxo de Caixa dos Acionistas'!AN9*1000</f>
        <v>0</v>
      </c>
      <c r="AO74" s="51">
        <f ca="1">-'CAPEX, Impostos e Abandono ($)'!AO38*'Fluxo de Caixa dos Acionistas'!AO9*1000</f>
        <v>0</v>
      </c>
      <c r="AP74" s="51">
        <f ca="1">-'CAPEX, Impostos e Abandono ($)'!AP38*'Fluxo de Caixa dos Acionistas'!AP9*1000</f>
        <v>0</v>
      </c>
      <c r="AQ74" s="51">
        <f ca="1">-'CAPEX, Impostos e Abandono ($)'!AQ38*'Fluxo de Caixa dos Acionistas'!AQ9*1000</f>
        <v>0</v>
      </c>
      <c r="AR74" s="51">
        <f ca="1">-'CAPEX, Impostos e Abandono ($)'!AR38*'Fluxo de Caixa dos Acionistas'!AR9*1000</f>
        <v>0</v>
      </c>
      <c r="AS74" s="51">
        <f ca="1">-'CAPEX, Impostos e Abandono ($)'!AS38*'Fluxo de Caixa dos Acionistas'!AS9*1000</f>
        <v>0</v>
      </c>
      <c r="AT74" s="51">
        <f ca="1">-'CAPEX, Impostos e Abandono ($)'!AT38*'Fluxo de Caixa dos Acionistas'!AT9*1000</f>
        <v>0</v>
      </c>
      <c r="AU74" s="51">
        <f ca="1">-'CAPEX, Impostos e Abandono ($)'!AU38*'Fluxo de Caixa dos Acionistas'!AU9*1000</f>
        <v>0</v>
      </c>
      <c r="AV74" s="51">
        <f ca="1">-'CAPEX, Impostos e Abandono ($)'!AV38*'Fluxo de Caixa dos Acionistas'!AV9*1000</f>
        <v>0</v>
      </c>
      <c r="AW74" s="51">
        <f ca="1">-'CAPEX, Impostos e Abandono ($)'!AW38*'Fluxo de Caixa dos Acionistas'!AW9*1000</f>
        <v>-732769.25729348755</v>
      </c>
      <c r="AX74" s="51">
        <f ca="1">-'CAPEX, Impostos e Abandono ($)'!AX38*'Fluxo de Caixa dos Acionistas'!AX9*1000</f>
        <v>0</v>
      </c>
      <c r="AY74" s="51">
        <f ca="1">-'CAPEX, Impostos e Abandono ($)'!AY38*'Fluxo de Caixa dos Acionistas'!AY9*1000</f>
        <v>0</v>
      </c>
      <c r="AZ74" s="51">
        <f ca="1">-'CAPEX, Impostos e Abandono ($)'!AZ38*'Fluxo de Caixa dos Acionistas'!AZ9*1000</f>
        <v>0</v>
      </c>
      <c r="BA74" s="51">
        <f ca="1">-'CAPEX, Impostos e Abandono ($)'!BA38*'Fluxo de Caixa dos Acionistas'!BA9*1000</f>
        <v>0</v>
      </c>
      <c r="BB74" s="51">
        <f ca="1">-'CAPEX, Impostos e Abandono ($)'!BB38*'Fluxo de Caixa dos Acionistas'!BB9*1000</f>
        <v>0</v>
      </c>
      <c r="BC74" s="51">
        <f ca="1">-'CAPEX, Impostos e Abandono ($)'!BC38*'Fluxo de Caixa dos Acionistas'!BC9*1000</f>
        <v>0</v>
      </c>
      <c r="BD74" s="51">
        <f ca="1">-'CAPEX, Impostos e Abandono ($)'!BD38*'Fluxo de Caixa dos Acionistas'!BD9*1000</f>
        <v>0</v>
      </c>
      <c r="BE74" s="51">
        <f ca="1">-'CAPEX, Impostos e Abandono ($)'!BE38*'Fluxo de Caixa dos Acionistas'!BE9*1000</f>
        <v>0</v>
      </c>
      <c r="BF74" s="51">
        <f ca="1">-'CAPEX, Impostos e Abandono ($)'!BF38*'Fluxo de Caixa dos Acionistas'!BF9*1000</f>
        <v>0</v>
      </c>
      <c r="BG74" s="51">
        <f ca="1">-'CAPEX, Impostos e Abandono ($)'!BG38*'Fluxo de Caixa dos Acionistas'!BG9*1000</f>
        <v>0</v>
      </c>
      <c r="BH74" s="51">
        <f ca="1">-'CAPEX, Impostos e Abandono ($)'!BH38*'Fluxo de Caixa dos Acionistas'!BH9*1000</f>
        <v>0</v>
      </c>
      <c r="BI74" s="51">
        <f ca="1">-'CAPEX, Impostos e Abandono ($)'!BI38*'Fluxo de Caixa dos Acionistas'!BI9*1000</f>
        <v>0</v>
      </c>
      <c r="BJ74" s="51">
        <f ca="1">-'CAPEX, Impostos e Abandono ($)'!BJ38*'Fluxo de Caixa dos Acionistas'!BJ9*1000</f>
        <v>-10869625.044523465</v>
      </c>
      <c r="BK74" s="51">
        <f ca="1">-'CAPEX, Impostos e Abandono ($)'!BK38*'Fluxo de Caixa dos Acionistas'!BK9*1000</f>
        <v>0</v>
      </c>
      <c r="BL74" s="51">
        <f ca="1">-'CAPEX, Impostos e Abandono ($)'!BL38*'Fluxo de Caixa dos Acionistas'!BL9*1000</f>
        <v>0</v>
      </c>
      <c r="BM74" s="51">
        <f ca="1">-'CAPEX, Impostos e Abandono ($)'!BM38*'Fluxo de Caixa dos Acionistas'!BM9*1000</f>
        <v>0</v>
      </c>
      <c r="BN74" s="51">
        <f ca="1">-'CAPEX, Impostos e Abandono ($)'!BN38*'Fluxo de Caixa dos Acionistas'!BN9*1000</f>
        <v>0</v>
      </c>
      <c r="BO74" s="51">
        <f ca="1">-'CAPEX, Impostos e Abandono ($)'!BO38*'Fluxo de Caixa dos Acionistas'!BO9*1000</f>
        <v>0</v>
      </c>
      <c r="BP74" s="51">
        <f ca="1">-'CAPEX, Impostos e Abandono ($)'!BP38*'Fluxo de Caixa dos Acionistas'!BP9*1000</f>
        <v>0</v>
      </c>
      <c r="BQ74" s="51">
        <f ca="1">-'CAPEX, Impostos e Abandono ($)'!BQ38*'Fluxo de Caixa dos Acionistas'!BQ9*1000</f>
        <v>0</v>
      </c>
      <c r="BR74" s="51">
        <f ca="1">-'CAPEX, Impostos e Abandono ($)'!BR38*'Fluxo de Caixa dos Acionistas'!BR9*1000</f>
        <v>0</v>
      </c>
      <c r="BS74" s="51">
        <f ca="1">-'CAPEX, Impostos e Abandono ($)'!BS38*'Fluxo de Caixa dos Acionistas'!BS9*1000</f>
        <v>0</v>
      </c>
      <c r="BT74" s="51">
        <f ca="1">-'CAPEX, Impostos e Abandono ($)'!BT38*'Fluxo de Caixa dos Acionistas'!BT9*1000</f>
        <v>0</v>
      </c>
      <c r="BU74" s="51">
        <f ca="1">-'CAPEX, Impostos e Abandono ($)'!BU38*'Fluxo de Caixa dos Acionistas'!BU9*1000</f>
        <v>0</v>
      </c>
      <c r="BV74" s="51">
        <f ca="1">-'CAPEX, Impostos e Abandono ($)'!BV38*'Fluxo de Caixa dos Acionistas'!BV9*1000</f>
        <v>0</v>
      </c>
      <c r="BW74" s="51">
        <f ca="1">-'CAPEX, Impostos e Abandono ($)'!BW38*'Fluxo de Caixa dos Acionistas'!BW9*1000</f>
        <v>0</v>
      </c>
    </row>
    <row r="75" spans="1:75" x14ac:dyDescent="0.3">
      <c r="A75" s="42" t="s">
        <v>545</v>
      </c>
      <c r="AG75" s="51">
        <f ca="1">IF(AG11=0,0,'Balanço Planilhado'!AG72)</f>
        <v>-1082608.5989700174</v>
      </c>
      <c r="AH75" s="51">
        <f ca="1">IF(AH11=0,0,'Balanço Planilhado'!AH72)</f>
        <v>-580481.34218906704</v>
      </c>
      <c r="AI75" s="51">
        <f ca="1">IF(AI11=0,0,'Balanço Planilhado'!AI72)</f>
        <v>34394.18519516848</v>
      </c>
      <c r="AJ75" s="51">
        <f ca="1">IF(AJ11=0,0,'Balanço Planilhado'!AJ72)</f>
        <v>-15756.499500703532</v>
      </c>
      <c r="AK75" s="51">
        <f ca="1">IF(AK11=0,0,'Balanço Planilhado'!AK72)</f>
        <v>200520.97917740373</v>
      </c>
      <c r="AL75" s="51">
        <f ca="1">IF(AL11=0,0,'Balanço Planilhado'!AL72)</f>
        <v>13530.800975340419</v>
      </c>
      <c r="AM75" s="51">
        <f ca="1">IF(AM11=0,0,'Balanço Planilhado'!AM72)</f>
        <v>287956.82717192639</v>
      </c>
      <c r="AN75" s="51">
        <f ca="1">IF(AN11=0,0,'Balanço Planilhado'!AN72)</f>
        <v>403675.56671605771</v>
      </c>
      <c r="AO75" s="51">
        <f ca="1">IF(AO11=0,0,'Balanço Planilhado'!AO72)</f>
        <v>244384.26108784438</v>
      </c>
      <c r="AP75" s="51">
        <f ca="1">IF(AP11=0,0,'Balanço Planilhado'!AP72)</f>
        <v>196663.4206017598</v>
      </c>
      <c r="AQ75" s="51">
        <f ca="1">IF(AQ11=0,0,'Balanço Planilhado'!AQ72)</f>
        <v>168458.1370232841</v>
      </c>
      <c r="AR75" s="51">
        <f ca="1">IF(AR11=0,0,'Balanço Planilhado'!AR72)</f>
        <v>171856.25586552359</v>
      </c>
      <c r="AS75" s="51">
        <f ca="1">IF(AS11=0,0,'Balanço Planilhado'!AS72)</f>
        <v>176060.42563267401</v>
      </c>
      <c r="AT75" s="51">
        <f ca="1">IF(AT11=0,0,'Balanço Planilhado'!AT72)</f>
        <v>147341.30428998615</v>
      </c>
      <c r="AU75" s="51">
        <f ca="1">IF(AU11=0,0,'Balanço Planilhado'!AU72)</f>
        <v>107732.25064288185</v>
      </c>
      <c r="AV75" s="51">
        <f ca="1">IF(AV11=0,0,'Balanço Planilhado'!AV72)</f>
        <v>82225.582530084881</v>
      </c>
      <c r="AW75" s="51">
        <f ca="1">IF(AW11=0,0,'Balanço Planilhado'!AW72)</f>
        <v>189314.204783277</v>
      </c>
      <c r="AX75" s="51">
        <f ca="1">IF(AX11=0,0,'Balanço Planilhado'!AX72)</f>
        <v>78444.894486394478</v>
      </c>
      <c r="AY75" s="51">
        <f ca="1">IF(AY11=0,0,'Balanço Planilhado'!AY72)</f>
        <v>69787.769434820162</v>
      </c>
      <c r="AZ75" s="51">
        <f ca="1">IF(AZ11=0,0,'Balanço Planilhado'!AZ72)</f>
        <v>65991.442436840734</v>
      </c>
      <c r="BA75" s="51">
        <f ca="1">IF(BA11=0,0,'Balanço Planilhado'!BA72)</f>
        <v>51827.280256567348</v>
      </c>
      <c r="BB75" s="51">
        <f ca="1">IF(BB11=0,0,'Balanço Planilhado'!BB72)</f>
        <v>56934.347450671601</v>
      </c>
      <c r="BC75" s="51">
        <f ca="1">IF(BC11=0,0,'Balanço Planilhado'!BC72)</f>
        <v>32785.039290965971</v>
      </c>
      <c r="BD75" s="51">
        <f ca="1">IF(BD11=0,0,'Balanço Planilhado'!BD72)</f>
        <v>25605.301720787014</v>
      </c>
      <c r="BE75" s="51">
        <f ca="1">IF(BE11=0,0,'Balanço Planilhado'!BE72)</f>
        <v>22200.317614023195</v>
      </c>
      <c r="BF75" s="51">
        <f ca="1">IF(BF11=0,0,'Balanço Planilhado'!BF72)</f>
        <v>39563.841039256484</v>
      </c>
      <c r="BG75" s="51">
        <f ca="1">IF(BG11=0,0,'Balanço Planilhado'!BG72)</f>
        <v>22550.319884034951</v>
      </c>
      <c r="BH75" s="51">
        <f ca="1">IF(BH11=0,0,'Balanço Planilhado'!BH72)</f>
        <v>14216.320325330627</v>
      </c>
      <c r="BI75" s="51">
        <f ca="1">IF(BI11=0,0,'Balanço Planilhado'!BI72)</f>
        <v>118816.97771128709</v>
      </c>
      <c r="BJ75" s="51">
        <f ca="1">IF(BJ11=0,0,'Balanço Planilhado'!BJ72)</f>
        <v>0</v>
      </c>
      <c r="BK75" s="51">
        <f ca="1">IF(BK11=0,0,'Balanço Planilhado'!BK72)</f>
        <v>0</v>
      </c>
      <c r="BL75" s="51">
        <f ca="1">IF(BL11=0,0,'Balanço Planilhado'!BL72)</f>
        <v>0</v>
      </c>
      <c r="BM75" s="51">
        <f ca="1">IF(BM11=0,0,'Balanço Planilhado'!BM72)</f>
        <v>0</v>
      </c>
      <c r="BN75" s="51">
        <f ca="1">IF(BN11=0,0,'Balanço Planilhado'!BN72)</f>
        <v>0</v>
      </c>
      <c r="BO75" s="51">
        <f ca="1">IF(BO11=0,0,'Balanço Planilhado'!BO72)</f>
        <v>0</v>
      </c>
      <c r="BP75" s="51">
        <f ca="1">IF(BP11=0,0,'Balanço Planilhado'!BP72)</f>
        <v>0</v>
      </c>
      <c r="BQ75" s="51">
        <f ca="1">IF(BQ11=0,0,'Balanço Planilhado'!BQ72)</f>
        <v>0</v>
      </c>
      <c r="BR75" s="51">
        <f ca="1">IF(BR11=0,0,'Balanço Planilhado'!BR72)</f>
        <v>0</v>
      </c>
      <c r="BS75" s="51">
        <f ca="1">IF(BS11=0,0,'Balanço Planilhado'!BS72)</f>
        <v>0</v>
      </c>
      <c r="BT75" s="51">
        <f ca="1">IF(BT11=0,0,'Balanço Planilhado'!BT72)</f>
        <v>0</v>
      </c>
      <c r="BU75" s="51">
        <f ca="1">IF(BU11=0,0,'Balanço Planilhado'!BU72)</f>
        <v>0</v>
      </c>
      <c r="BV75" s="51">
        <f ca="1">IF(BV11=0,0,'Balanço Planilhado'!BV72)</f>
        <v>0</v>
      </c>
      <c r="BW75" s="51">
        <f ca="1">IF(BW11=0,0,'Balanço Planilhado'!BW72)</f>
        <v>0</v>
      </c>
    </row>
    <row r="76" spans="1:75" x14ac:dyDescent="0.3">
      <c r="A76" s="42" t="s">
        <v>709</v>
      </c>
      <c r="AG76" s="51">
        <f ca="1">IF(AG11=0,0,'Balanço Planilhado'!AG74)</f>
        <v>-1075188</v>
      </c>
      <c r="AH76" s="51">
        <f ca="1">IF(AH11=0,0,'Balanço Planilhado'!AH74)</f>
        <v>0</v>
      </c>
      <c r="AI76" s="51">
        <f ca="1">IF(AI11=0,0,'Balanço Planilhado'!AI74)</f>
        <v>0</v>
      </c>
      <c r="AJ76" s="51">
        <f ca="1">IF(AJ11=0,0,'Balanço Planilhado'!AJ74)</f>
        <v>0</v>
      </c>
      <c r="AK76" s="51">
        <f ca="1">IF(AK11=0,0,'Balanço Planilhado'!AK74)</f>
        <v>0</v>
      </c>
      <c r="AL76" s="51">
        <f ca="1">IF(AL11=0,0,'Balanço Planilhado'!AL74)</f>
        <v>0</v>
      </c>
      <c r="AM76" s="51">
        <f ca="1">IF(AM11=0,0,'Balanço Planilhado'!AM74)</f>
        <v>0</v>
      </c>
      <c r="AN76" s="51">
        <f ca="1">IF(AN11=0,0,'Balanço Planilhado'!AN74)</f>
        <v>0</v>
      </c>
      <c r="AO76" s="51">
        <f ca="1">IF(AO11=0,0,'Balanço Planilhado'!AO74)</f>
        <v>0</v>
      </c>
      <c r="AP76" s="51">
        <f ca="1">IF(AP11=0,0,'Balanço Planilhado'!AP74)</f>
        <v>0</v>
      </c>
      <c r="AQ76" s="51">
        <f ca="1">IF(AQ11=0,0,'Balanço Planilhado'!AQ74)</f>
        <v>0</v>
      </c>
      <c r="AR76" s="51">
        <f ca="1">IF(AR11=0,0,'Balanço Planilhado'!AR74)</f>
        <v>0</v>
      </c>
      <c r="AS76" s="51">
        <f ca="1">IF(AS11=0,0,'Balanço Planilhado'!AS74)</f>
        <v>0</v>
      </c>
      <c r="AT76" s="51">
        <f ca="1">IF(AT11=0,0,'Balanço Planilhado'!AT74)</f>
        <v>0</v>
      </c>
      <c r="AU76" s="51">
        <f ca="1">IF(AU11=0,0,'Balanço Planilhado'!AU74)</f>
        <v>0</v>
      </c>
      <c r="AV76" s="51">
        <f ca="1">IF(AV11=0,0,'Balanço Planilhado'!AV74)</f>
        <v>0</v>
      </c>
      <c r="AW76" s="51">
        <f ca="1">IF(AW11=0,0,'Balanço Planilhado'!AW74)</f>
        <v>0</v>
      </c>
      <c r="AX76" s="51">
        <f ca="1">IF(AX11=0,0,'Balanço Planilhado'!AX74)</f>
        <v>0</v>
      </c>
      <c r="AY76" s="51">
        <f ca="1">IF(AY11=0,0,'Balanço Planilhado'!AY74)</f>
        <v>0</v>
      </c>
      <c r="AZ76" s="51">
        <f ca="1">IF(AZ11=0,0,'Balanço Planilhado'!AZ74)</f>
        <v>0</v>
      </c>
      <c r="BA76" s="51">
        <f ca="1">IF(BA11=0,0,'Balanço Planilhado'!BA74)</f>
        <v>0</v>
      </c>
      <c r="BB76" s="51">
        <f ca="1">IF(BB11=0,0,'Balanço Planilhado'!BB74)</f>
        <v>0</v>
      </c>
      <c r="BC76" s="51">
        <f ca="1">IF(BC11=0,0,'Balanço Planilhado'!BC74)</f>
        <v>0</v>
      </c>
      <c r="BD76" s="51">
        <f ca="1">IF(BD11=0,0,'Balanço Planilhado'!BD74)</f>
        <v>0</v>
      </c>
      <c r="BE76" s="51">
        <f ca="1">IF(BE11=0,0,'Balanço Planilhado'!BE74)</f>
        <v>0</v>
      </c>
      <c r="BF76" s="51">
        <f ca="1">IF(BF11=0,0,'Balanço Planilhado'!BF74)</f>
        <v>0</v>
      </c>
      <c r="BG76" s="51">
        <f ca="1">IF(BG11=0,0,'Balanço Planilhado'!BG74)</f>
        <v>0</v>
      </c>
      <c r="BH76" s="51">
        <f ca="1">IF(BH11=0,0,'Balanço Planilhado'!BH74)</f>
        <v>0</v>
      </c>
      <c r="BI76" s="51">
        <f ca="1">IF(BI11=0,0,'Balanço Planilhado'!BI74)</f>
        <v>0</v>
      </c>
      <c r="BJ76" s="51">
        <f ca="1">IF(BJ11=0,0,'Balanço Planilhado'!BJ74)</f>
        <v>0</v>
      </c>
      <c r="BK76" s="51">
        <f ca="1">IF(BK11=0,0,'Balanço Planilhado'!BK74)</f>
        <v>0</v>
      </c>
      <c r="BL76" s="51">
        <f ca="1">IF(BL11=0,0,'Balanço Planilhado'!BL74)</f>
        <v>0</v>
      </c>
      <c r="BM76" s="51">
        <f ca="1">IF(BM11=0,0,'Balanço Planilhado'!BM74)</f>
        <v>0</v>
      </c>
      <c r="BN76" s="51">
        <f ca="1">IF(BN11=0,0,'Balanço Planilhado'!BN74)</f>
        <v>0</v>
      </c>
      <c r="BO76" s="51">
        <f ca="1">IF(BO11=0,0,'Balanço Planilhado'!BO74)</f>
        <v>0</v>
      </c>
      <c r="BP76" s="51">
        <f ca="1">IF(BP11=0,0,'Balanço Planilhado'!BP74)</f>
        <v>0</v>
      </c>
      <c r="BQ76" s="51">
        <f ca="1">IF(BQ11=0,0,'Balanço Planilhado'!BQ74)</f>
        <v>0</v>
      </c>
      <c r="BR76" s="51">
        <f ca="1">IF(BR11=0,0,'Balanço Planilhado'!BR74)</f>
        <v>0</v>
      </c>
      <c r="BS76" s="51">
        <f ca="1">IF(BS11=0,0,'Balanço Planilhado'!BS74)</f>
        <v>0</v>
      </c>
      <c r="BT76" s="51">
        <f ca="1">IF(BT11=0,0,'Balanço Planilhado'!BT74)</f>
        <v>0</v>
      </c>
      <c r="BU76" s="51">
        <f ca="1">IF(BU11=0,0,'Balanço Planilhado'!BU74)</f>
        <v>0</v>
      </c>
      <c r="BV76" s="51">
        <f ca="1">IF(BV11=0,0,'Balanço Planilhado'!BV74)</f>
        <v>0</v>
      </c>
      <c r="BW76" s="51">
        <f ca="1">IF(BW11=0,0,'Balanço Planilhado'!BW74)</f>
        <v>0</v>
      </c>
    </row>
    <row r="77" spans="1:75" x14ac:dyDescent="0.3">
      <c r="A77" s="38" t="s">
        <v>533</v>
      </c>
      <c r="AG77" s="48">
        <f ca="1">-IF(AG16=0,0,'CAPEX, D&amp;A, Imob&amp;Intang'!AG60+'CAPEX, D&amp;A, Imob&amp;Intang'!AG20)</f>
        <v>-2019903.0495151998</v>
      </c>
      <c r="AH77" s="48">
        <f ca="1">-IF(AH16=0,0,'CAPEX, D&amp;A, Imob&amp;Intang'!AH60+'CAPEX, D&amp;A, Imob&amp;Intang'!AH20)</f>
        <v>-2014360.8885152002</v>
      </c>
      <c r="AI77" s="48">
        <f ca="1">-IF(AI16=0,0,'CAPEX, D&amp;A, Imob&amp;Intang'!AI60+'CAPEX, D&amp;A, Imob&amp;Intang'!AI20)</f>
        <v>-1632652.7512352003</v>
      </c>
      <c r="AJ77" s="48">
        <f ca="1">-IF(AJ16=0,0,'CAPEX, D&amp;A, Imob&amp;Intang'!AJ60+'CAPEX, D&amp;A, Imob&amp;Intang'!AJ20)</f>
        <v>-1629518.6606792</v>
      </c>
      <c r="AK77" s="48">
        <f ca="1">-IF(AK16=0,0,'CAPEX, D&amp;A, Imob&amp;Intang'!AK60+'CAPEX, D&amp;A, Imob&amp;Intang'!AK20)</f>
        <v>-1320236.7267642082</v>
      </c>
      <c r="AL77" s="48">
        <f ca="1">-IF(AL16=0,0,'CAPEX, D&amp;A, Imob&amp;Intang'!AL60+'CAPEX, D&amp;A, Imob&amp;Intang'!AL20)</f>
        <v>-1373958.3728337917</v>
      </c>
      <c r="AM77" s="48">
        <f ca="1">-IF(AM16=0,0,'CAPEX, D&amp;A, Imob&amp;Intang'!AM60+'CAPEX, D&amp;A, Imob&amp;Intang'!AM20)</f>
        <v>-245069.46577319829</v>
      </c>
      <c r="AN77" s="48">
        <f ca="1">-IF(AN16=0,0,'CAPEX, D&amp;A, Imob&amp;Intang'!AN60+'CAPEX, D&amp;A, Imob&amp;Intang'!AN20)</f>
        <v>-252110.32479641904</v>
      </c>
      <c r="AO77" s="48">
        <f ca="1">-IF(AO16=0,0,'CAPEX, D&amp;A, Imob&amp;Intang'!AO60+'CAPEX, D&amp;A, Imob&amp;Intang'!AO20)</f>
        <v>-259374.65514821038</v>
      </c>
      <c r="AP77" s="48">
        <f ca="1">-IF(AP16=0,0,'CAPEX, D&amp;A, Imob&amp;Intang'!AP60+'CAPEX, D&amp;A, Imob&amp;Intang'!AP20)</f>
        <v>-266844.30248594529</v>
      </c>
      <c r="AQ77" s="48">
        <f ca="1">-IF(AQ16=0,0,'CAPEX, D&amp;A, Imob&amp;Intang'!AQ60+'CAPEX, D&amp;A, Imob&amp;Intang'!AQ20)</f>
        <v>-274551.03055616067</v>
      </c>
      <c r="AR77" s="48">
        <f ca="1">-IF(AR16=0,0,'CAPEX, D&amp;A, Imob&amp;Intang'!AR60+'CAPEX, D&amp;A, Imob&amp;Intang'!AR20)</f>
        <v>-282475.57941676368</v>
      </c>
      <c r="AS77" s="48">
        <f ca="1">-IF(AS16=0,0,'CAPEX, D&amp;A, Imob&amp;Intang'!AS60+'CAPEX, D&amp;A, Imob&amp;Intang'!AS20)</f>
        <v>-290651.64722645521</v>
      </c>
      <c r="AT77" s="48">
        <f ca="1">-IF(AT16=0,0,'CAPEX, D&amp;A, Imob&amp;Intang'!AT60+'CAPEX, D&amp;A, Imob&amp;Intang'!AT20)</f>
        <v>-187414.23669097779</v>
      </c>
      <c r="AU77" s="48">
        <f ca="1">-IF(AU16=0,0,'CAPEX, D&amp;A, Imob&amp;Intang'!AU60+'CAPEX, D&amp;A, Imob&amp;Intang'!AU20)</f>
        <v>-192738.89009762881</v>
      </c>
      <c r="AV77" s="48">
        <f ca="1">-IF(AV16=0,0,'CAPEX, D&amp;A, Imob&amp;Intang'!AV60+'CAPEX, D&amp;A, Imob&amp;Intang'!AV20)</f>
        <v>-198208.22261488263</v>
      </c>
      <c r="AW77" s="48">
        <f ca="1">-IF(AW16=0,0,'CAPEX, D&amp;A, Imob&amp;Intang'!AW60+'CAPEX, D&amp;A, Imob&amp;Intang'!AW20)</f>
        <v>-203857.1474139987</v>
      </c>
      <c r="AX77" s="48">
        <f ca="1">-IF(AX16=0,0,'CAPEX, D&amp;A, Imob&amp;Intang'!AX60+'CAPEX, D&amp;A, Imob&amp;Intang'!AX20)</f>
        <v>-209659.56228155328</v>
      </c>
      <c r="AY77" s="48">
        <f ca="1">-IF(AY16=0,0,'CAPEX, D&amp;A, Imob&amp;Intang'!AY60+'CAPEX, D&amp;A, Imob&amp;Intang'!AY20)</f>
        <v>-215652.50660093554</v>
      </c>
      <c r="AZ77" s="48">
        <f ca="1">-IF(AZ16=0,0,'CAPEX, D&amp;A, Imob&amp;Intang'!AZ60+'CAPEX, D&amp;A, Imob&amp;Intang'!AZ20)</f>
        <v>-221808.28853392418</v>
      </c>
      <c r="BA77" s="48">
        <f ca="1">-IF(BA16=0,0,'CAPEX, D&amp;A, Imob&amp;Intang'!BA60+'CAPEX, D&amp;A, Imob&amp;Intang'!BA20)</f>
        <v>-228166.20316235683</v>
      </c>
      <c r="BB77" s="48">
        <f ca="1">-IF(BB16=0,0,'CAPEX, D&amp;A, Imob&amp;Intang'!BB60+'CAPEX, D&amp;A, Imob&amp;Intang'!BB20)</f>
        <v>-234696.87221506459</v>
      </c>
      <c r="BC77" s="48">
        <f ca="1">-IF(BC16=0,0,'CAPEX, D&amp;A, Imob&amp;Intang'!BC60+'CAPEX, D&amp;A, Imob&amp;Intang'!BC20)</f>
        <v>-241441.98384436866</v>
      </c>
      <c r="BD77" s="48">
        <f ca="1">-IF(BD16=0,0,'CAPEX, D&amp;A, Imob&amp;Intang'!BD60+'CAPEX, D&amp;A, Imob&amp;Intang'!BD20)</f>
        <v>-248370.37064238629</v>
      </c>
      <c r="BE77" s="48">
        <f ca="1">-IF(BE16=0,0,'CAPEX, D&amp;A, Imob&amp;Intang'!BE60+'CAPEX, D&amp;A, Imob&amp;Intang'!BE20)</f>
        <v>-255526.25956991507</v>
      </c>
      <c r="BF77" s="48">
        <f ca="1">-IF(BF16=0,0,'CAPEX, D&amp;A, Imob&amp;Intang'!BF60+'CAPEX, D&amp;A, Imob&amp;Intang'!BF20)</f>
        <v>-262876.58512393187</v>
      </c>
      <c r="BG77" s="48">
        <f ca="1">-IF(BG16=0,0,'CAPEX, D&amp;A, Imob&amp;Intang'!BG60+'CAPEX, D&amp;A, Imob&amp;Intang'!BG20)</f>
        <v>-10173.088515200187</v>
      </c>
      <c r="BH77" s="48">
        <f ca="1">-IF(BH16=0,0,'CAPEX, D&amp;A, Imob&amp;Intang'!BH60+'CAPEX, D&amp;A, Imob&amp;Intang'!BH20)</f>
        <v>-10173.088515200187</v>
      </c>
      <c r="BI77" s="48">
        <f ca="1">-IF(BI16=0,0,'CAPEX, D&amp;A, Imob&amp;Intang'!BI60+'CAPEX, D&amp;A, Imob&amp;Intang'!BI20)</f>
        <v>-10173.088515200187</v>
      </c>
      <c r="BJ77" s="48">
        <f ca="1">-IF(BJ16=0,0,'CAPEX, D&amp;A, Imob&amp;Intang'!BJ60+'CAPEX, D&amp;A, Imob&amp;Intang'!BJ20)</f>
        <v>0</v>
      </c>
      <c r="BK77" s="48">
        <f ca="1">-IF(BK16=0,0,'CAPEX, D&amp;A, Imob&amp;Intang'!BK60+'CAPEX, D&amp;A, Imob&amp;Intang'!BK20)</f>
        <v>0</v>
      </c>
      <c r="BL77" s="48">
        <f ca="1">-IF(BL16=0,0,'CAPEX, D&amp;A, Imob&amp;Intang'!BL60+'CAPEX, D&amp;A, Imob&amp;Intang'!BL20)</f>
        <v>0</v>
      </c>
      <c r="BM77" s="48">
        <f ca="1">-IF(BM16=0,0,'CAPEX, D&amp;A, Imob&amp;Intang'!BM60+'CAPEX, D&amp;A, Imob&amp;Intang'!BM20)</f>
        <v>0</v>
      </c>
      <c r="BN77" s="48">
        <f ca="1">-IF(BN16=0,0,'CAPEX, D&amp;A, Imob&amp;Intang'!BN60+'CAPEX, D&amp;A, Imob&amp;Intang'!BN20)</f>
        <v>0</v>
      </c>
      <c r="BO77" s="48">
        <f ca="1">-IF(BO16=0,0,'CAPEX, D&amp;A, Imob&amp;Intang'!BO60+'CAPEX, D&amp;A, Imob&amp;Intang'!BO20)</f>
        <v>0</v>
      </c>
      <c r="BP77" s="48">
        <f ca="1">-IF(BP16=0,0,'CAPEX, D&amp;A, Imob&amp;Intang'!BP60+'CAPEX, D&amp;A, Imob&amp;Intang'!BP20)</f>
        <v>0</v>
      </c>
      <c r="BQ77" s="48">
        <f ca="1">-IF(BQ16=0,0,'CAPEX, D&amp;A, Imob&amp;Intang'!BQ60+'CAPEX, D&amp;A, Imob&amp;Intang'!BQ20)</f>
        <v>0</v>
      </c>
      <c r="BR77" s="48">
        <f ca="1">-IF(BR16=0,0,'CAPEX, D&amp;A, Imob&amp;Intang'!BR60+'CAPEX, D&amp;A, Imob&amp;Intang'!BR20)</f>
        <v>0</v>
      </c>
      <c r="BS77" s="48">
        <f ca="1">-IF(BS16=0,0,'CAPEX, D&amp;A, Imob&amp;Intang'!BS60+'CAPEX, D&amp;A, Imob&amp;Intang'!BS20)</f>
        <v>0</v>
      </c>
      <c r="BT77" s="48">
        <f ca="1">-IF(BT16=0,0,'CAPEX, D&amp;A, Imob&amp;Intang'!BT60+'CAPEX, D&amp;A, Imob&amp;Intang'!BT20)</f>
        <v>0</v>
      </c>
      <c r="BU77" s="48">
        <f ca="1">-IF(BU16=0,0,'CAPEX, D&amp;A, Imob&amp;Intang'!BU60+'CAPEX, D&amp;A, Imob&amp;Intang'!BU20)</f>
        <v>0</v>
      </c>
      <c r="BV77" s="48">
        <f ca="1">-IF(BV16=0,0,'CAPEX, D&amp;A, Imob&amp;Intang'!BV60+'CAPEX, D&amp;A, Imob&amp;Intang'!BV20)</f>
        <v>0</v>
      </c>
      <c r="BW77" s="48">
        <f ca="1">-IF(BW16=0,0,'CAPEX, D&amp;A, Imob&amp;Intang'!BW60+'CAPEX, D&amp;A, Imob&amp;Intang'!BW20)</f>
        <v>0</v>
      </c>
    </row>
    <row r="78" spans="1:75" x14ac:dyDescent="0.3">
      <c r="A78" s="38" t="s">
        <v>633</v>
      </c>
      <c r="AG78" s="48">
        <f ca="1">IF(AG11=0,0,'Resultado Financeiro e Dívida'!AG27*1000)</f>
        <v>-2927860.2894113609</v>
      </c>
      <c r="AH78" s="48">
        <f ca="1">IF(AH11=0,0,'Resultado Financeiro e Dívida'!AH27*1000)</f>
        <v>-2358613.0355949015</v>
      </c>
      <c r="AI78" s="48">
        <f ca="1">IF(AI11=0,0,'Resultado Financeiro e Dívida'!AI27*1000)</f>
        <v>-3249675.9554585558</v>
      </c>
      <c r="AJ78" s="48">
        <f ca="1">IF(AJ11=0,0,'Resultado Financeiro e Dívida'!AJ27*1000)</f>
        <v>-905210.40074048773</v>
      </c>
      <c r="AK78" s="48">
        <f ca="1">IF(AK11=0,0,'Resultado Financeiro e Dívida'!AK27*1000)</f>
        <v>-756655.30500743445</v>
      </c>
      <c r="AL78" s="48">
        <f ca="1">IF(AL11=0,0,'Resultado Financeiro e Dívida'!AL27*1000)</f>
        <v>-57008.682623194545</v>
      </c>
      <c r="AM78" s="48">
        <f ca="1">IF(AM11=0,0,'Resultado Financeiro e Dívida'!AM27*1000)</f>
        <v>455046.75059220975</v>
      </c>
      <c r="AN78" s="48">
        <f ca="1">IF(AN11=0,0,'Resultado Financeiro e Dívida'!AN27*1000)</f>
        <v>684515.53455207567</v>
      </c>
      <c r="AO78" s="48">
        <f ca="1">IF(AO11=0,0,'Resultado Financeiro e Dívida'!AO27*1000)</f>
        <v>443352.38758296374</v>
      </c>
      <c r="AP78" s="48">
        <f ca="1">IF(AP11=0,0,'Resultado Financeiro e Dívida'!AP27*1000)</f>
        <v>361263.29089177534</v>
      </c>
      <c r="AQ78" s="48">
        <f ca="1">IF(AQ11=0,0,'Resultado Financeiro e Dívida'!AQ27*1000)</f>
        <v>302418.55638163362</v>
      </c>
      <c r="AR78" s="48">
        <f ca="1">IF(AR11=0,0,'Resultado Financeiro e Dívida'!AR27*1000)</f>
        <v>307094.70968286949</v>
      </c>
      <c r="AS78" s="48">
        <f ca="1">IF(AS11=0,0,'Resultado Financeiro e Dívida'!AS27*1000)</f>
        <v>309772.88108693756</v>
      </c>
      <c r="AT78" s="48">
        <f ca="1">IF(AT11=0,0,'Resultado Financeiro e Dívida'!AT27*1000)</f>
        <v>264228.37055405579</v>
      </c>
      <c r="AU78" s="48">
        <f ca="1">IF(AU11=0,0,'Resultado Financeiro e Dívida'!AU27*1000)</f>
        <v>189969.73478251288</v>
      </c>
      <c r="AV78" s="48">
        <f ca="1">IF(AV11=0,0,'Resultado Financeiro e Dívida'!AV27*1000)</f>
        <v>163812.90479372023</v>
      </c>
      <c r="AW78" s="48">
        <f ca="1">IF(AW11=0,0,'Resultado Financeiro e Dívida'!AW27*1000)</f>
        <v>323086.14049065206</v>
      </c>
      <c r="AX78" s="48">
        <f ca="1">IF(AX11=0,0,'Resultado Financeiro e Dívida'!AX27*1000)</f>
        <v>135813.12809331599</v>
      </c>
      <c r="AY78" s="48">
        <f ca="1">IF(AY11=0,0,'Resultado Financeiro e Dívida'!AY27*1000)</f>
        <v>119159.26273211358</v>
      </c>
      <c r="AZ78" s="48">
        <f ca="1">IF(AZ11=0,0,'Resultado Financeiro e Dívida'!AZ27*1000)</f>
        <v>112712.71725237602</v>
      </c>
      <c r="BA78" s="48">
        <f ca="1">IF(BA11=0,0,'Resultado Financeiro e Dívida'!BA27*1000)</f>
        <v>87207.043441012836</v>
      </c>
      <c r="BB78" s="48">
        <f ca="1">IF(BB11=0,0,'Resultado Financeiro e Dívida'!BB27*1000)</f>
        <v>98541.218488193525</v>
      </c>
      <c r="BC78" s="48">
        <f ca="1">IF(BC11=0,0,'Resultado Financeiro e Dívida'!BC27*1000)</f>
        <v>55900.15799925186</v>
      </c>
      <c r="BD78" s="48">
        <f ca="1">IF(BD11=0,0,'Resultado Financeiro e Dívida'!BD27*1000)</f>
        <v>43643.323182323911</v>
      </c>
      <c r="BE78" s="48">
        <f ca="1">IF(BE11=0,0,'Resultado Financeiro e Dívida'!BE27*1000)</f>
        <v>36801.22596468823</v>
      </c>
      <c r="BF78" s="48">
        <f ca="1">IF(BF11=0,0,'Resultado Financeiro e Dívida'!BF27*1000)</f>
        <v>68462.703586833188</v>
      </c>
      <c r="BG78" s="48">
        <f ca="1">IF(BG11=0,0,'Resultado Financeiro e Dívida'!BG27*1000)</f>
        <v>38611.285564778089</v>
      </c>
      <c r="BH78" s="48">
        <f ca="1">IF(BH11=0,0,'Resultado Financeiro e Dívida'!BH27*1000)</f>
        <v>24373.898111109156</v>
      </c>
      <c r="BI78" s="48">
        <f ca="1">IF(BI11=0,0,'Resultado Financeiro e Dívida'!BI27*1000)</f>
        <v>202196.06585288761</v>
      </c>
      <c r="BJ78" s="48">
        <f ca="1">IF(BJ11=0,0,'Resultado Financeiro e Dívida'!BJ27*1000)</f>
        <v>0</v>
      </c>
      <c r="BK78" s="48">
        <f ca="1">IF(BK11=0,0,'Resultado Financeiro e Dívida'!BK27*1000)</f>
        <v>0</v>
      </c>
      <c r="BL78" s="48">
        <f ca="1">IF(BL11=0,0,'Resultado Financeiro e Dívida'!BL27*1000)</f>
        <v>0</v>
      </c>
      <c r="BM78" s="48">
        <f ca="1">IF(BM11=0,0,'Resultado Financeiro e Dívida'!BM27*1000)</f>
        <v>0</v>
      </c>
      <c r="BN78" s="48">
        <f ca="1">IF(BN11=0,0,'Resultado Financeiro e Dívida'!BN27*1000)</f>
        <v>0</v>
      </c>
      <c r="BO78" s="48">
        <f ca="1">IF(BO11=0,0,'Resultado Financeiro e Dívida'!BO27*1000)</f>
        <v>0</v>
      </c>
      <c r="BP78" s="48">
        <f ca="1">IF(BP11=0,0,'Resultado Financeiro e Dívida'!BP27*1000)</f>
        <v>0</v>
      </c>
      <c r="BQ78" s="48">
        <f ca="1">IF(BQ11=0,0,'Resultado Financeiro e Dívida'!BQ27*1000)</f>
        <v>0</v>
      </c>
      <c r="BR78" s="48">
        <f ca="1">IF(BR11=0,0,'Resultado Financeiro e Dívida'!BR27*1000)</f>
        <v>0</v>
      </c>
      <c r="BS78" s="48">
        <f ca="1">IF(BS11=0,0,'Resultado Financeiro e Dívida'!BS27*1000)</f>
        <v>0</v>
      </c>
      <c r="BT78" s="48">
        <f ca="1">IF(BT11=0,0,'Resultado Financeiro e Dívida'!BT27*1000)</f>
        <v>0</v>
      </c>
      <c r="BU78" s="48">
        <f ca="1">IF(BU11=0,0,'Resultado Financeiro e Dívida'!BU27*1000)</f>
        <v>0</v>
      </c>
      <c r="BV78" s="48">
        <f ca="1">IF(BV11=0,0,'Resultado Financeiro e Dívida'!BV27*1000)</f>
        <v>0</v>
      </c>
      <c r="BW78" s="48">
        <f ca="1">IF(BW11=0,0,'Resultado Financeiro e Dívida'!BW27*1000)</f>
        <v>0</v>
      </c>
    </row>
    <row r="80" spans="1:75" x14ac:dyDescent="0.3">
      <c r="A80" s="38" t="s">
        <v>549</v>
      </c>
      <c r="AG80" s="48">
        <f t="shared" ref="AG80:BW80" ca="1" si="77">AG71+AG77+AG78</f>
        <v>953688.57328090677</v>
      </c>
      <c r="AH80" s="48">
        <f t="shared" ca="1" si="77"/>
        <v>5389664.2516960837</v>
      </c>
      <c r="AI80" s="48">
        <f t="shared" ca="1" si="77"/>
        <v>5475207.6585377902</v>
      </c>
      <c r="AJ80" s="48">
        <f t="shared" ca="1" si="77"/>
        <v>8046461.1559760422</v>
      </c>
      <c r="AK80" s="48">
        <f t="shared" ca="1" si="77"/>
        <v>8215110.1554037565</v>
      </c>
      <c r="AL80" s="48">
        <f t="shared" ca="1" si="77"/>
        <v>8604486.3720627632</v>
      </c>
      <c r="AM80" s="48">
        <f t="shared" ca="1" si="77"/>
        <v>9678013.7271099314</v>
      </c>
      <c r="AN80" s="48">
        <f t="shared" ca="1" si="77"/>
        <v>8712613.5611161198</v>
      </c>
      <c r="AO80" s="48">
        <f t="shared" ca="1" si="77"/>
        <v>7423834.0674120123</v>
      </c>
      <c r="AP80" s="48">
        <f t="shared" ca="1" si="77"/>
        <v>6416126.8564460929</v>
      </c>
      <c r="AQ80" s="48">
        <f t="shared" ca="1" si="77"/>
        <v>5708692.6395331863</v>
      </c>
      <c r="AR80" s="48">
        <f t="shared" ca="1" si="77"/>
        <v>5051990.0319977021</v>
      </c>
      <c r="AS80" s="48">
        <f t="shared" ca="1" si="77"/>
        <v>4402551.1766064344</v>
      </c>
      <c r="AT80" s="48">
        <f t="shared" ca="1" si="77"/>
        <v>3882609.517873113</v>
      </c>
      <c r="AU80" s="48">
        <f t="shared" ca="1" si="77"/>
        <v>3410458.3859516117</v>
      </c>
      <c r="AV80" s="48">
        <f t="shared" ca="1" si="77"/>
        <v>3065469.3603720986</v>
      </c>
      <c r="AW80" s="48">
        <f t="shared" ca="1" si="77"/>
        <v>2089676.6834670939</v>
      </c>
      <c r="AX80" s="48">
        <f t="shared" ca="1" si="77"/>
        <v>2293991.3428656543</v>
      </c>
      <c r="AY80" s="48">
        <f t="shared" ca="1" si="77"/>
        <v>2069847.5666703598</v>
      </c>
      <c r="AZ80" s="48">
        <f t="shared" ca="1" si="77"/>
        <v>1876525.0304947486</v>
      </c>
      <c r="BA80" s="48">
        <f t="shared" ca="1" si="77"/>
        <v>1686583.6718590634</v>
      </c>
      <c r="BB80" s="48">
        <f t="shared" ca="1" si="77"/>
        <v>1550406.1253090273</v>
      </c>
      <c r="BC80" s="48">
        <f t="shared" ca="1" si="77"/>
        <v>1398746.9742931514</v>
      </c>
      <c r="BD80" s="48">
        <f t="shared" ca="1" si="77"/>
        <v>1318116.4280503159</v>
      </c>
      <c r="BE80" s="48">
        <f t="shared" ca="1" si="77"/>
        <v>1252355.6742158197</v>
      </c>
      <c r="BF80" s="48">
        <f t="shared" ca="1" si="77"/>
        <v>1213602.0049693175</v>
      </c>
      <c r="BG80" s="48">
        <f t="shared" ca="1" si="77"/>
        <v>1405263.6330371259</v>
      </c>
      <c r="BH80" s="48">
        <f t="shared" ca="1" si="77"/>
        <v>1262050.4757282641</v>
      </c>
      <c r="BI80" s="48">
        <f t="shared" ca="1" si="77"/>
        <v>1097552.0786361762</v>
      </c>
      <c r="BJ80" s="48">
        <f t="shared" ca="1" si="77"/>
        <v>-10869625.044523465</v>
      </c>
      <c r="BK80" s="48">
        <f t="shared" ca="1" si="77"/>
        <v>0</v>
      </c>
      <c r="BL80" s="48">
        <f t="shared" ca="1" si="77"/>
        <v>0</v>
      </c>
      <c r="BM80" s="48">
        <f t="shared" ca="1" si="77"/>
        <v>0</v>
      </c>
      <c r="BN80" s="48">
        <f t="shared" ca="1" si="77"/>
        <v>0</v>
      </c>
      <c r="BO80" s="48">
        <f t="shared" ca="1" si="77"/>
        <v>0</v>
      </c>
      <c r="BP80" s="48">
        <f t="shared" ca="1" si="77"/>
        <v>0</v>
      </c>
      <c r="BQ80" s="48">
        <f t="shared" ca="1" si="77"/>
        <v>0</v>
      </c>
      <c r="BR80" s="48">
        <f t="shared" ca="1" si="77"/>
        <v>0</v>
      </c>
      <c r="BS80" s="48">
        <f t="shared" ca="1" si="77"/>
        <v>0</v>
      </c>
      <c r="BT80" s="48">
        <f t="shared" ca="1" si="77"/>
        <v>0</v>
      </c>
      <c r="BU80" s="48">
        <f t="shared" ca="1" si="77"/>
        <v>0</v>
      </c>
      <c r="BV80" s="48">
        <f t="shared" ca="1" si="77"/>
        <v>0</v>
      </c>
      <c r="BW80" s="48">
        <f t="shared" ca="1" si="77"/>
        <v>0</v>
      </c>
    </row>
    <row r="134" spans="22:29" x14ac:dyDescent="0.3">
      <c r="V134"/>
      <c r="W134"/>
      <c r="X134"/>
      <c r="Y134"/>
      <c r="AA134" s="76"/>
      <c r="AB134" s="76"/>
      <c r="AC134" s="76"/>
    </row>
  </sheetData>
  <phoneticPr fontId="19" type="noConversion"/>
  <pageMargins left="0.511811024" right="0.511811024" top="0.78740157499999996" bottom="0.78740157499999996" header="0.31496062000000002" footer="0.31496062000000002"/>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1D29C-25A6-4BAB-BFB8-7DAD24BAC3E3}">
  <sheetPr>
    <tabColor theme="8" tint="0.79998168889431442"/>
  </sheetPr>
  <dimension ref="A1:XFD1048567"/>
  <sheetViews>
    <sheetView showGridLines="0" zoomScaleNormal="100" workbookViewId="0">
      <pane xSplit="1" ySplit="1" topLeftCell="B2" activePane="bottomRight" state="frozen"/>
      <selection pane="topRight" activeCell="B1" sqref="B1"/>
      <selection pane="bottomLeft" activeCell="A2" sqref="A2"/>
      <selection pane="bottomRight" activeCell="K20" sqref="K20"/>
    </sheetView>
  </sheetViews>
  <sheetFormatPr defaultRowHeight="14.4" x14ac:dyDescent="0.3"/>
  <cols>
    <col min="1" max="1" width="43.33203125" customWidth="1"/>
    <col min="2" max="2" width="16.88671875" customWidth="1"/>
    <col min="3" max="3" width="9.77734375" customWidth="1"/>
    <col min="4" max="4" width="13.109375" customWidth="1"/>
    <col min="5" max="5" width="10.44140625" customWidth="1"/>
    <col min="6" max="6" width="10.109375" customWidth="1"/>
    <col min="7" max="7" width="10" bestFit="1" customWidth="1"/>
    <col min="8" max="10" width="9" bestFit="1" customWidth="1"/>
    <col min="11" max="11" width="9.21875" bestFit="1" customWidth="1"/>
    <col min="12" max="14" width="10.21875" bestFit="1" customWidth="1"/>
    <col min="15" max="30" width="9.109375" bestFit="1" customWidth="1"/>
    <col min="31" max="47" width="10.6640625" bestFit="1" customWidth="1"/>
  </cols>
  <sheetData>
    <row r="1" spans="1:47" x14ac:dyDescent="0.3">
      <c r="B1" s="3">
        <v>2022</v>
      </c>
      <c r="C1" s="3" t="s">
        <v>550</v>
      </c>
      <c r="D1" s="3">
        <v>2023</v>
      </c>
      <c r="E1" s="3">
        <f>D1+1</f>
        <v>2024</v>
      </c>
      <c r="F1" s="3">
        <f t="shared" ref="F1:AJ1" si="0">E1+1</f>
        <v>2025</v>
      </c>
      <c r="G1" s="3">
        <f t="shared" si="0"/>
        <v>2026</v>
      </c>
      <c r="H1" s="3">
        <f t="shared" si="0"/>
        <v>2027</v>
      </c>
      <c r="I1" s="3">
        <f t="shared" si="0"/>
        <v>2028</v>
      </c>
      <c r="J1" s="3">
        <f t="shared" si="0"/>
        <v>2029</v>
      </c>
      <c r="K1" s="3">
        <f t="shared" si="0"/>
        <v>2030</v>
      </c>
      <c r="L1" s="3">
        <f t="shared" si="0"/>
        <v>2031</v>
      </c>
      <c r="M1" s="3">
        <f t="shared" si="0"/>
        <v>2032</v>
      </c>
      <c r="N1" s="3">
        <f t="shared" si="0"/>
        <v>2033</v>
      </c>
      <c r="O1" s="3">
        <f t="shared" si="0"/>
        <v>2034</v>
      </c>
      <c r="P1" s="3">
        <f t="shared" si="0"/>
        <v>2035</v>
      </c>
      <c r="Q1" s="3">
        <f t="shared" si="0"/>
        <v>2036</v>
      </c>
      <c r="R1" s="3">
        <f t="shared" si="0"/>
        <v>2037</v>
      </c>
      <c r="S1" s="3">
        <f t="shared" si="0"/>
        <v>2038</v>
      </c>
      <c r="T1" s="3">
        <f t="shared" si="0"/>
        <v>2039</v>
      </c>
      <c r="U1" s="3">
        <f t="shared" si="0"/>
        <v>2040</v>
      </c>
      <c r="V1" s="3">
        <f t="shared" si="0"/>
        <v>2041</v>
      </c>
      <c r="W1" s="3">
        <f t="shared" si="0"/>
        <v>2042</v>
      </c>
      <c r="X1" s="3">
        <f t="shared" si="0"/>
        <v>2043</v>
      </c>
      <c r="Y1" s="3">
        <f t="shared" si="0"/>
        <v>2044</v>
      </c>
      <c r="Z1" s="3">
        <f t="shared" si="0"/>
        <v>2045</v>
      </c>
      <c r="AA1" s="3">
        <f t="shared" si="0"/>
        <v>2046</v>
      </c>
      <c r="AB1" s="3">
        <f t="shared" si="0"/>
        <v>2047</v>
      </c>
      <c r="AC1" s="3">
        <f t="shared" si="0"/>
        <v>2048</v>
      </c>
      <c r="AD1" s="3">
        <f t="shared" si="0"/>
        <v>2049</v>
      </c>
      <c r="AE1" s="3">
        <f t="shared" si="0"/>
        <v>2050</v>
      </c>
      <c r="AF1" s="3">
        <f t="shared" si="0"/>
        <v>2051</v>
      </c>
      <c r="AG1" s="3">
        <f t="shared" si="0"/>
        <v>2052</v>
      </c>
      <c r="AH1" s="3">
        <f t="shared" si="0"/>
        <v>2053</v>
      </c>
      <c r="AI1" s="3">
        <f t="shared" si="0"/>
        <v>2054</v>
      </c>
      <c r="AJ1" s="3">
        <f t="shared" si="0"/>
        <v>2055</v>
      </c>
      <c r="AK1" s="3">
        <f t="shared" ref="AK1:AU1" si="1">AJ1+1</f>
        <v>2056</v>
      </c>
      <c r="AL1" s="3">
        <f t="shared" si="1"/>
        <v>2057</v>
      </c>
      <c r="AM1" s="3">
        <f t="shared" si="1"/>
        <v>2058</v>
      </c>
      <c r="AN1" s="3">
        <f t="shared" si="1"/>
        <v>2059</v>
      </c>
      <c r="AO1" s="3">
        <f t="shared" si="1"/>
        <v>2060</v>
      </c>
      <c r="AP1" s="3">
        <f t="shared" si="1"/>
        <v>2061</v>
      </c>
      <c r="AQ1" s="3">
        <f t="shared" si="1"/>
        <v>2062</v>
      </c>
      <c r="AR1" s="3">
        <f t="shared" si="1"/>
        <v>2063</v>
      </c>
      <c r="AS1" s="3">
        <f t="shared" si="1"/>
        <v>2064</v>
      </c>
      <c r="AT1" s="3">
        <f t="shared" si="1"/>
        <v>2065</v>
      </c>
      <c r="AU1" s="3">
        <f t="shared" si="1"/>
        <v>2066</v>
      </c>
    </row>
    <row r="3" spans="1:47" x14ac:dyDescent="0.3">
      <c r="A3" s="218" t="s">
        <v>108</v>
      </c>
      <c r="B3" s="26"/>
      <c r="E3" s="70">
        <f>'Resultado Financeiro e Dívida'!AF7</f>
        <v>4.9324999999999992</v>
      </c>
      <c r="F3" s="70">
        <f>'Resultado Financeiro e Dívida'!AG7</f>
        <v>4.9326999999999996</v>
      </c>
      <c r="G3" s="70">
        <f>'Resultado Financeiro e Dívida'!AH7</f>
        <v>5</v>
      </c>
      <c r="H3" s="70">
        <f>'Resultado Financeiro e Dívida'!AI7</f>
        <v>5.04</v>
      </c>
      <c r="I3" s="70">
        <f>'Resultado Financeiro e Dívida'!AJ7</f>
        <v>5.0999999999999996</v>
      </c>
      <c r="J3" s="70">
        <f>SUMIFS('Drivers Macroeconômico'!$K:$K,'Drivers Macroeconômico'!$H:$H,J$1)</f>
        <v>5.15</v>
      </c>
      <c r="K3" s="70">
        <f>SUMIFS('Drivers Macroeconômico'!$K:$K,'Drivers Macroeconômico'!$H:$H,K$1)</f>
        <v>5.200490196078432</v>
      </c>
      <c r="L3" s="70">
        <f>SUMIFS('Drivers Macroeconômico'!$K:$K,'Drivers Macroeconômico'!$H:$H,L$1)</f>
        <v>5.2514753940792014</v>
      </c>
      <c r="M3" s="70">
        <f>SUMIFS('Drivers Macroeconômico'!$K:$K,'Drivers Macroeconômico'!$H:$H,M$1)</f>
        <v>5.3029604469623308</v>
      </c>
      <c r="N3" s="70">
        <f>SUMIFS('Drivers Macroeconômico'!$K:$K,'Drivers Macroeconômico'!$H:$H,N$1)</f>
        <v>5.3549502552658828</v>
      </c>
      <c r="O3" s="70">
        <f>SUMIFS('Drivers Macroeconômico'!$K:$K,'Drivers Macroeconômico'!$H:$H,O$1)</f>
        <v>5.4074497675724107</v>
      </c>
      <c r="P3" s="70">
        <f>SUMIFS('Drivers Macroeconômico'!$K:$K,'Drivers Macroeconômico'!$H:$H,P$1)</f>
        <v>5.4604639809799842</v>
      </c>
      <c r="Q3" s="70">
        <f>SUMIFS('Drivers Macroeconômico'!$K:$K,'Drivers Macroeconômico'!$H:$H,Q$1)</f>
        <v>5.5139979415778271</v>
      </c>
      <c r="R3" s="70">
        <f>SUMIFS('Drivers Macroeconômico'!$K:$K,'Drivers Macroeconômico'!$H:$H,R$1)</f>
        <v>5.5680567449266292</v>
      </c>
      <c r="S3" s="70">
        <f>SUMIFS('Drivers Macroeconômico'!$K:$K,'Drivers Macroeconômico'!$H:$H,S$1)</f>
        <v>5.6226455365435566</v>
      </c>
      <c r="T3" s="70">
        <f>SUMIFS('Drivers Macroeconômico'!$K:$K,'Drivers Macroeconômico'!$H:$H,T$1)</f>
        <v>5.6777695123920227</v>
      </c>
      <c r="U3" s="70">
        <f>SUMIFS('Drivers Macroeconômico'!$K:$K,'Drivers Macroeconômico'!$H:$H,U$1)</f>
        <v>5.7334339193762576</v>
      </c>
      <c r="V3" s="70">
        <f>SUMIFS('Drivers Macroeconômico'!$K:$K,'Drivers Macroeconômico'!$H:$H,V$1)</f>
        <v>5.7896440558407303</v>
      </c>
      <c r="W3" s="70">
        <f>SUMIFS('Drivers Macroeconômico'!$K:$K,'Drivers Macroeconômico'!$H:$H,W$1)</f>
        <v>5.8464052720744633</v>
      </c>
      <c r="X3" s="70">
        <f>SUMIFS('Drivers Macroeconômico'!$K:$K,'Drivers Macroeconômico'!$H:$H,X$1)</f>
        <v>5.903722970820291</v>
      </c>
      <c r="Y3" s="70">
        <f>SUMIFS('Drivers Macroeconômico'!$K:$K,'Drivers Macroeconômico'!$H:$H,Y$1)</f>
        <v>5.9616026077891178</v>
      </c>
      <c r="Z3" s="70">
        <f>SUMIFS('Drivers Macroeconômico'!$K:$K,'Drivers Macroeconômico'!$H:$H,Z$1)</f>
        <v>6.0200496921792075</v>
      </c>
      <c r="AA3" s="70">
        <f>SUMIFS('Drivers Macroeconômico'!$K:$K,'Drivers Macroeconômico'!$H:$H,AA$1)</f>
        <v>6.0790697872005719</v>
      </c>
      <c r="AB3" s="70">
        <f>SUMIFS('Drivers Macroeconômico'!$K:$K,'Drivers Macroeconômico'!$H:$H,AB$1)</f>
        <v>6.1386685106044991</v>
      </c>
      <c r="AC3" s="70">
        <f>SUMIFS('Drivers Macroeconômico'!$K:$K,'Drivers Macroeconômico'!$H:$H,AC$1)</f>
        <v>6.1988515352182691</v>
      </c>
      <c r="AD3" s="70">
        <f>SUMIFS('Drivers Macroeconômico'!$K:$K,'Drivers Macroeconômico'!$H:$H,AD$1)</f>
        <v>6.2596245894851146</v>
      </c>
      <c r="AE3" s="70">
        <f>SUMIFS('Drivers Macroeconômico'!$K:$K,'Drivers Macroeconômico'!$H:$H,AE$1)</f>
        <v>6.3209934580094789</v>
      </c>
      <c r="AF3" s="70">
        <f>SUMIFS('Drivers Macroeconômico'!$K:$K,'Drivers Macroeconômico'!$H:$H,AF$1)</f>
        <v>6.3829639821076105</v>
      </c>
      <c r="AG3" s="70">
        <f>SUMIFS('Drivers Macroeconômico'!$K:$K,'Drivers Macroeconômico'!$H:$H,AG$1)</f>
        <v>6.445542060363568</v>
      </c>
      <c r="AH3" s="70">
        <f>SUMIFS('Drivers Macroeconômico'!$K:$K,'Drivers Macroeconômico'!$H:$H,AH$1)</f>
        <v>6.5087336491906616</v>
      </c>
      <c r="AI3" s="70">
        <f>SUMIFS('Drivers Macroeconômico'!$K:$K,'Drivers Macroeconômico'!$H:$H,AI$1)</f>
        <v>6.5725447633984135</v>
      </c>
      <c r="AJ3" s="70">
        <f>SUMIFS('Drivers Macroeconômico'!$K:$K,'Drivers Macroeconômico'!$H:$H,AJ$1)</f>
        <v>6.6369814767650652</v>
      </c>
      <c r="AK3" s="70">
        <f>SUMIFS('Drivers Macroeconômico'!$K:$K,'Drivers Macroeconômico'!$H:$H,AK$1)</f>
        <v>6.7020499226157026</v>
      </c>
      <c r="AL3" s="70">
        <f>SUMIFS('Drivers Macroeconômico'!$K:$K,'Drivers Macroeconômico'!$H:$H,AL$1)</f>
        <v>6.7677562944060528</v>
      </c>
      <c r="AM3" s="70">
        <f>SUMIFS('Drivers Macroeconômico'!$K:$K,'Drivers Macroeconômico'!$H:$H,AM$1)</f>
        <v>6.8341068463119949</v>
      </c>
      <c r="AN3" s="70">
        <f>SUMIFS('Drivers Macroeconômico'!$K:$K,'Drivers Macroeconômico'!$H:$H,AN$1)</f>
        <v>6.9011078938248582</v>
      </c>
      <c r="AO3" s="70">
        <f>SUMIFS('Drivers Macroeconômico'!$K:$K,'Drivers Macroeconômico'!$H:$H,AO$1)</f>
        <v>6.9687658143525528</v>
      </c>
      <c r="AP3" s="70">
        <f>SUMIFS('Drivers Macroeconômico'!$K:$K,'Drivers Macroeconômico'!$H:$H,AP$1)</f>
        <v>7.0370870478265974</v>
      </c>
      <c r="AQ3" s="70">
        <f>SUMIFS('Drivers Macroeconômico'!$K:$K,'Drivers Macroeconômico'!$H:$H,AQ$1)</f>
        <v>7.106078097315093</v>
      </c>
      <c r="AR3" s="70">
        <f>SUMIFS('Drivers Macroeconômico'!$K:$K,'Drivers Macroeconômico'!$H:$H,AR$1)</f>
        <v>7.175745529641711</v>
      </c>
      <c r="AS3" s="70">
        <f>SUMIFS('Drivers Macroeconômico'!$K:$K,'Drivers Macroeconômico'!$H:$H,AS$1)</f>
        <v>7.2460959760107482</v>
      </c>
      <c r="AT3" s="70">
        <f>SUMIFS('Drivers Macroeconômico'!$K:$K,'Drivers Macroeconômico'!$H:$H,AT$1)</f>
        <v>7.3171361326383053</v>
      </c>
      <c r="AU3" s="70">
        <f>SUMIFS('Drivers Macroeconômico'!$K:$K,'Drivers Macroeconômico'!$H:$H,AU$1)</f>
        <v>7.3888727613896608</v>
      </c>
    </row>
    <row r="5" spans="1:47" x14ac:dyDescent="0.3">
      <c r="A5" s="34" t="s">
        <v>20</v>
      </c>
      <c r="B5" s="25"/>
      <c r="E5" s="48">
        <f ca="1">'Fluxo de Caixa dos Acionistas'!AG80/1000</f>
        <v>953.68857328090678</v>
      </c>
      <c r="F5" s="48">
        <f ca="1">'Fluxo de Caixa dos Acionistas'!AH80/1000</f>
        <v>5389.6642516960837</v>
      </c>
      <c r="G5" s="48">
        <f ca="1">'Fluxo de Caixa dos Acionistas'!AI80/1000</f>
        <v>5475.2076585377899</v>
      </c>
      <c r="H5" s="48">
        <f ca="1">'Fluxo de Caixa dos Acionistas'!AJ80/1000</f>
        <v>8046.4611559760424</v>
      </c>
      <c r="I5" s="48">
        <f ca="1">'Fluxo de Caixa dos Acionistas'!AK80/1000</f>
        <v>8215.1101554037559</v>
      </c>
      <c r="J5" s="48">
        <f ca="1">'Fluxo de Caixa dos Acionistas'!AL80/1000</f>
        <v>8604.4863720627636</v>
      </c>
      <c r="K5" s="48">
        <f ca="1">'Fluxo de Caixa dos Acionistas'!AM80/1000</f>
        <v>9678.013727109932</v>
      </c>
      <c r="L5" s="48">
        <f ca="1">'Fluxo de Caixa dos Acionistas'!AN80/1000</f>
        <v>8712.6135611161189</v>
      </c>
      <c r="M5" s="48">
        <f ca="1">'Fluxo de Caixa dos Acionistas'!AO80/1000</f>
        <v>7423.8340674120127</v>
      </c>
      <c r="N5" s="48">
        <f ca="1">'Fluxo de Caixa dos Acionistas'!AP80/1000</f>
        <v>6416.1268564460934</v>
      </c>
      <c r="O5" s="48">
        <f ca="1">'Fluxo de Caixa dos Acionistas'!AQ80/1000</f>
        <v>5708.6926395331866</v>
      </c>
      <c r="P5" s="48">
        <f ca="1">'Fluxo de Caixa dos Acionistas'!AR80/1000</f>
        <v>5051.9900319977023</v>
      </c>
      <c r="Q5" s="48">
        <f ca="1">'Fluxo de Caixa dos Acionistas'!AS80/1000</f>
        <v>4402.5511766064346</v>
      </c>
      <c r="R5" s="48">
        <f ca="1">'Fluxo de Caixa dos Acionistas'!AT80/1000</f>
        <v>3882.609517873113</v>
      </c>
      <c r="S5" s="48">
        <f ca="1">'Fluxo de Caixa dos Acionistas'!AU80/1000</f>
        <v>3410.4583859516115</v>
      </c>
      <c r="T5" s="48">
        <f ca="1">'Fluxo de Caixa dos Acionistas'!AV80/1000</f>
        <v>3065.4693603720984</v>
      </c>
      <c r="U5" s="48">
        <f ca="1">'Fluxo de Caixa dos Acionistas'!AW80/1000</f>
        <v>2089.6766834670939</v>
      </c>
      <c r="V5" s="48">
        <f ca="1">'Fluxo de Caixa dos Acionistas'!AX80/1000</f>
        <v>2293.9913428656541</v>
      </c>
      <c r="W5" s="48">
        <f ca="1">'Fluxo de Caixa dos Acionistas'!AY80/1000</f>
        <v>2069.8475666703598</v>
      </c>
      <c r="X5" s="48">
        <f ca="1">'Fluxo de Caixa dos Acionistas'!AZ80/1000</f>
        <v>1876.5250304947485</v>
      </c>
      <c r="Y5" s="48">
        <f ca="1">'Fluxo de Caixa dos Acionistas'!BA80/1000</f>
        <v>1686.5836718590635</v>
      </c>
      <c r="Z5" s="48">
        <f ca="1">'Fluxo de Caixa dos Acionistas'!BB80/1000</f>
        <v>1550.4061253090272</v>
      </c>
      <c r="AA5" s="48">
        <f ca="1">'Fluxo de Caixa dos Acionistas'!BC80/1000</f>
        <v>1398.7469742931514</v>
      </c>
      <c r="AB5" s="48">
        <f ca="1">'Fluxo de Caixa dos Acionistas'!BD80/1000</f>
        <v>1318.116428050316</v>
      </c>
      <c r="AC5" s="48">
        <f ca="1">'Fluxo de Caixa dos Acionistas'!BE80/1000</f>
        <v>1252.3556742158196</v>
      </c>
      <c r="AD5" s="48">
        <f ca="1">'Fluxo de Caixa dos Acionistas'!BF80/1000</f>
        <v>1213.6020049693175</v>
      </c>
      <c r="AE5" s="48">
        <f ca="1">'Fluxo de Caixa dos Acionistas'!BG80/1000</f>
        <v>1405.2636330371258</v>
      </c>
      <c r="AF5" s="48">
        <f ca="1">'Fluxo de Caixa dos Acionistas'!BH80/1000</f>
        <v>1262.050475728264</v>
      </c>
      <c r="AG5" s="48">
        <f ca="1">'Fluxo de Caixa dos Acionistas'!BI80/1000</f>
        <v>1097.5520786361762</v>
      </c>
      <c r="AH5" s="48">
        <f ca="1">'Fluxo de Caixa dos Acionistas'!BJ80/1000</f>
        <v>-10869.625044523464</v>
      </c>
      <c r="AI5" s="48">
        <f ca="1">'Fluxo de Caixa dos Acionistas'!BK80/1000</f>
        <v>0</v>
      </c>
      <c r="AJ5" s="48">
        <f ca="1">'Fluxo de Caixa dos Acionistas'!BL80/1000</f>
        <v>0</v>
      </c>
      <c r="AK5" s="48">
        <f ca="1">'Fluxo de Caixa dos Acionistas'!BM80/1000</f>
        <v>0</v>
      </c>
      <c r="AL5" s="48">
        <f ca="1">'Fluxo de Caixa dos Acionistas'!BN80/1000</f>
        <v>0</v>
      </c>
      <c r="AM5" s="48">
        <f ca="1">'Fluxo de Caixa dos Acionistas'!BO80/1000</f>
        <v>0</v>
      </c>
      <c r="AN5" s="48">
        <f ca="1">'Fluxo de Caixa dos Acionistas'!BP80/1000</f>
        <v>0</v>
      </c>
      <c r="AO5" s="48">
        <f ca="1">'Fluxo de Caixa dos Acionistas'!BQ80/1000</f>
        <v>0</v>
      </c>
      <c r="AP5" s="48">
        <f ca="1">'Fluxo de Caixa dos Acionistas'!BR80/1000</f>
        <v>0</v>
      </c>
      <c r="AQ5" s="48">
        <f ca="1">'Fluxo de Caixa dos Acionistas'!BS80/1000</f>
        <v>0</v>
      </c>
      <c r="AR5" s="48">
        <f ca="1">'Fluxo de Caixa dos Acionistas'!BT80/1000</f>
        <v>0</v>
      </c>
      <c r="AS5" s="48">
        <f ca="1">'Fluxo de Caixa dos Acionistas'!BU80/1000</f>
        <v>0</v>
      </c>
      <c r="AT5" s="48">
        <f ca="1">'Fluxo de Caixa dos Acionistas'!BV80/1000</f>
        <v>0</v>
      </c>
      <c r="AU5" s="48">
        <f ca="1">'Fluxo de Caixa dos Acionistas'!BW80/1000</f>
        <v>0</v>
      </c>
    </row>
    <row r="6" spans="1:47" x14ac:dyDescent="0.3">
      <c r="A6" s="34"/>
      <c r="B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7" x14ac:dyDescent="0.3">
      <c r="A7" s="67" t="s">
        <v>385</v>
      </c>
      <c r="B7" s="209">
        <v>2024</v>
      </c>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row>
    <row r="8" spans="1:47" x14ac:dyDescent="0.3">
      <c r="A8" s="219" t="s">
        <v>387</v>
      </c>
      <c r="B8" s="221">
        <f>'Drivers Macroeconômico'!AN189</f>
        <v>4.1799999999999997E-2</v>
      </c>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7" x14ac:dyDescent="0.3">
      <c r="A9" s="219" t="s">
        <v>17</v>
      </c>
      <c r="B9" s="222">
        <f>'Drivers Macroeconômico'!Z153</f>
        <v>1.0900000000000001</v>
      </c>
      <c r="E9" s="25"/>
      <c r="F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row>
    <row r="10" spans="1:47" x14ac:dyDescent="0.3">
      <c r="A10" s="219" t="s">
        <v>388</v>
      </c>
      <c r="B10" s="223">
        <v>2.1662000000000001E-2</v>
      </c>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row>
    <row r="11" spans="1:47" x14ac:dyDescent="0.3">
      <c r="A11" s="34"/>
      <c r="B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row>
    <row r="12" spans="1:47" x14ac:dyDescent="0.3">
      <c r="A12" s="34" t="s">
        <v>528</v>
      </c>
      <c r="B12" s="25"/>
      <c r="E12" s="69">
        <f t="shared" ref="E12:AU12" ca="1" si="2">E13+E14*E17</f>
        <v>0.10562384585151227</v>
      </c>
      <c r="F12" s="69">
        <f t="shared" ca="1" si="2"/>
        <v>9.5276403010809918E-2</v>
      </c>
      <c r="G12" s="69">
        <f t="shared" ca="1" si="2"/>
        <v>8.7819208840734186E-2</v>
      </c>
      <c r="H12" s="69">
        <f t="shared" ca="1" si="2"/>
        <v>8.704830827606308E-2</v>
      </c>
      <c r="I12" s="69">
        <f t="shared" ca="1" si="2"/>
        <v>8.5917185985008193E-2</v>
      </c>
      <c r="J12" s="69">
        <f t="shared" ca="1" si="2"/>
        <v>8.8812041952341825E-2</v>
      </c>
      <c r="K12" s="69">
        <f t="shared" ca="1" si="2"/>
        <v>8.8812041952341825E-2</v>
      </c>
      <c r="L12" s="69">
        <f t="shared" ca="1" si="2"/>
        <v>8.8228703950685605E-2</v>
      </c>
      <c r="M12" s="69">
        <f t="shared" ca="1" si="2"/>
        <v>8.8228703950685605E-2</v>
      </c>
      <c r="N12" s="69">
        <f t="shared" ca="1" si="2"/>
        <v>8.8228703950685605E-2</v>
      </c>
      <c r="O12" s="69">
        <f t="shared" ca="1" si="2"/>
        <v>9.3467992904401442E-2</v>
      </c>
      <c r="P12" s="69">
        <f t="shared" ca="1" si="2"/>
        <v>9.3467992904401442E-2</v>
      </c>
      <c r="Q12" s="69">
        <f t="shared" ca="1" si="2"/>
        <v>9.3467992904401442E-2</v>
      </c>
      <c r="R12" s="69">
        <f t="shared" ca="1" si="2"/>
        <v>9.3467992904401442E-2</v>
      </c>
      <c r="S12" s="69">
        <f t="shared" ca="1" si="2"/>
        <v>9.3467992904401442E-2</v>
      </c>
      <c r="T12" s="69">
        <f t="shared" ca="1" si="2"/>
        <v>9.3467992904401442E-2</v>
      </c>
      <c r="U12" s="69">
        <f t="shared" ca="1" si="2"/>
        <v>9.3467992904401442E-2</v>
      </c>
      <c r="V12" s="69">
        <f t="shared" ca="1" si="2"/>
        <v>9.3467992904401442E-2</v>
      </c>
      <c r="W12" s="69">
        <f t="shared" ca="1" si="2"/>
        <v>9.3467992904401442E-2</v>
      </c>
      <c r="X12" s="69">
        <f t="shared" ca="1" si="2"/>
        <v>9.3467992904401442E-2</v>
      </c>
      <c r="Y12" s="69">
        <f t="shared" ca="1" si="2"/>
        <v>8.7964868799912055E-2</v>
      </c>
      <c r="Z12" s="69">
        <f t="shared" ca="1" si="2"/>
        <v>8.7964868799912055E-2</v>
      </c>
      <c r="AA12" s="69">
        <f t="shared" ca="1" si="2"/>
        <v>8.7964868799912055E-2</v>
      </c>
      <c r="AB12" s="69">
        <f t="shared" ca="1" si="2"/>
        <v>8.7964868799912055E-2</v>
      </c>
      <c r="AC12" s="69">
        <f t="shared" ca="1" si="2"/>
        <v>8.7964868799912055E-2</v>
      </c>
      <c r="AD12" s="69">
        <f t="shared" ca="1" si="2"/>
        <v>8.7964868799912055E-2</v>
      </c>
      <c r="AE12" s="69">
        <f t="shared" ca="1" si="2"/>
        <v>8.7964868799912055E-2</v>
      </c>
      <c r="AF12" s="69">
        <f t="shared" ca="1" si="2"/>
        <v>8.7964868799912055E-2</v>
      </c>
      <c r="AG12" s="69">
        <f t="shared" ca="1" si="2"/>
        <v>8.7964868799912055E-2</v>
      </c>
      <c r="AH12" s="69">
        <f t="shared" ca="1" si="2"/>
        <v>8.7964868799912055E-2</v>
      </c>
      <c r="AI12" s="69">
        <f t="shared" ca="1" si="2"/>
        <v>8.7964868799912055E-2</v>
      </c>
      <c r="AJ12" s="69">
        <f t="shared" ca="1" si="2"/>
        <v>8.7964868799912055E-2</v>
      </c>
      <c r="AK12" s="69">
        <f t="shared" ca="1" si="2"/>
        <v>8.7964868799912055E-2</v>
      </c>
      <c r="AL12" s="69">
        <f t="shared" ca="1" si="2"/>
        <v>8.7964868799912055E-2</v>
      </c>
      <c r="AM12" s="69">
        <f t="shared" ca="1" si="2"/>
        <v>8.7964868799912055E-2</v>
      </c>
      <c r="AN12" s="69">
        <f t="shared" ca="1" si="2"/>
        <v>8.7964868799912055E-2</v>
      </c>
      <c r="AO12" s="69">
        <f t="shared" ca="1" si="2"/>
        <v>8.7964868799912055E-2</v>
      </c>
      <c r="AP12" s="69">
        <f t="shared" ca="1" si="2"/>
        <v>8.7964868799912055E-2</v>
      </c>
      <c r="AQ12" s="69">
        <f t="shared" ca="1" si="2"/>
        <v>8.7964868799912055E-2</v>
      </c>
      <c r="AR12" s="69">
        <f t="shared" ca="1" si="2"/>
        <v>8.7964868799912055E-2</v>
      </c>
      <c r="AS12" s="69">
        <f t="shared" ca="1" si="2"/>
        <v>8.7964868799912055E-2</v>
      </c>
      <c r="AT12" s="69">
        <f t="shared" ca="1" si="2"/>
        <v>8.7964868799912055E-2</v>
      </c>
      <c r="AU12" s="69">
        <f t="shared" ca="1" si="2"/>
        <v>8.7964868799912055E-2</v>
      </c>
    </row>
    <row r="13" spans="1:47" x14ac:dyDescent="0.3">
      <c r="A13" s="43" t="s">
        <v>386</v>
      </c>
      <c r="B13" s="25"/>
      <c r="E13" s="69">
        <f>SUMIFS('Drivers Macroeconômico'!$AT:$AT,'Drivers Macroeconômico'!$AW:$AW,'Avaliação e Simulações'!E$1)</f>
        <v>5.04E-2</v>
      </c>
      <c r="F13" s="69">
        <f>SUMIFS('Drivers Macroeconômico'!$AT:$AT,'Drivers Macroeconômico'!$AW:$AW,'Avaliação e Simulações'!F$1)</f>
        <v>4.3212338156892516E-2</v>
      </c>
      <c r="G13" s="69">
        <f>SUMIFS('Drivers Macroeconômico'!$AT:$AT,'Drivers Macroeconômico'!$AW:$AW,'Avaliação e Simulações'!G$1)</f>
        <v>4.0213861127290196E-2</v>
      </c>
      <c r="H13" s="69">
        <f>SUMIFS('Drivers Macroeconômico'!$AT:$AT,'Drivers Macroeconômico'!$AW:$AW,'Avaliação e Simulações'!H$1)</f>
        <v>4.0355185985008202E-2</v>
      </c>
      <c r="I13" s="69">
        <f>SUMIFS('Drivers Macroeconômico'!$AT:$AT,'Drivers Macroeconômico'!$AW:$AW,'Avaliação e Simulações'!I$1)</f>
        <v>4.0355185985008202E-2</v>
      </c>
      <c r="J13" s="69">
        <f>SUMIFS('Drivers Macroeconômico'!$AT:$AT,'Drivers Macroeconômico'!$AW:$AW,'Avaliação e Simulações'!J$1)</f>
        <v>4.3250041952341833E-2</v>
      </c>
      <c r="K13" s="69">
        <f>SUMIFS('Drivers Macroeconômico'!$AT:$AT,'Drivers Macroeconômico'!$AW:$AW,'Avaliação e Simulações'!K$1)</f>
        <v>4.3250041952341833E-2</v>
      </c>
      <c r="L13" s="69">
        <f>SUMIFS('Drivers Macroeconômico'!$AT:$AT,'Drivers Macroeconômico'!$AW:$AW,'Avaliação e Simulações'!L$1)</f>
        <v>4.2666703950685614E-2</v>
      </c>
      <c r="M13" s="69">
        <f>SUMIFS('Drivers Macroeconômico'!$AT:$AT,'Drivers Macroeconômico'!$AW:$AW,'Avaliação e Simulações'!M$1)</f>
        <v>4.2666703950685614E-2</v>
      </c>
      <c r="N13" s="69">
        <f>SUMIFS('Drivers Macroeconômico'!$AT:$AT,'Drivers Macroeconômico'!$AW:$AW,'Avaliação e Simulações'!N$1)</f>
        <v>4.2666703950685614E-2</v>
      </c>
      <c r="O13" s="69">
        <f>SUMIFS('Drivers Macroeconômico'!$AT:$AT,'Drivers Macroeconômico'!$AW:$AW,'Avaliação e Simulações'!O$1)</f>
        <v>4.7905992904401451E-2</v>
      </c>
      <c r="P13" s="69">
        <f>SUMIFS('Drivers Macroeconômico'!$AT:$AT,'Drivers Macroeconômico'!$AW:$AW,'Avaliação e Simulações'!P$1)</f>
        <v>4.7905992904401451E-2</v>
      </c>
      <c r="Q13" s="69">
        <f>SUMIFS('Drivers Macroeconômico'!$AT:$AT,'Drivers Macroeconômico'!$AW:$AW,'Avaliação e Simulações'!Q$1)</f>
        <v>4.7905992904401451E-2</v>
      </c>
      <c r="R13" s="69">
        <f>SUMIFS('Drivers Macroeconômico'!$AT:$AT,'Drivers Macroeconômico'!$AW:$AW,'Avaliação e Simulações'!R$1)</f>
        <v>4.7905992904401451E-2</v>
      </c>
      <c r="S13" s="69">
        <f>SUMIFS('Drivers Macroeconômico'!$AT:$AT,'Drivers Macroeconômico'!$AW:$AW,'Avaliação e Simulações'!S$1)</f>
        <v>4.7905992904401451E-2</v>
      </c>
      <c r="T13" s="69">
        <f>SUMIFS('Drivers Macroeconômico'!$AT:$AT,'Drivers Macroeconômico'!$AW:$AW,'Avaliação e Simulações'!T$1)</f>
        <v>4.7905992904401451E-2</v>
      </c>
      <c r="U13" s="69">
        <f>SUMIFS('Drivers Macroeconômico'!$AT:$AT,'Drivers Macroeconômico'!$AW:$AW,'Avaliação e Simulações'!U$1)</f>
        <v>4.7905992904401451E-2</v>
      </c>
      <c r="V13" s="69">
        <f>SUMIFS('Drivers Macroeconômico'!$AT:$AT,'Drivers Macroeconômico'!$AW:$AW,'Avaliação e Simulações'!V$1)</f>
        <v>4.7905992904401451E-2</v>
      </c>
      <c r="W13" s="69">
        <f>SUMIFS('Drivers Macroeconômico'!$AT:$AT,'Drivers Macroeconômico'!$AW:$AW,'Avaliação e Simulações'!W$1)</f>
        <v>4.7905992904401451E-2</v>
      </c>
      <c r="X13" s="69">
        <f>SUMIFS('Drivers Macroeconômico'!$AT:$AT,'Drivers Macroeconômico'!$AW:$AW,'Avaliação e Simulações'!X$1)</f>
        <v>4.7905992904401451E-2</v>
      </c>
      <c r="Y13" s="69">
        <f>SUMIFS('Drivers Macroeconômico'!$AT:$AT,'Drivers Macroeconômico'!$AW:$AW,'Avaliação e Simulações'!Y$1)</f>
        <v>4.2402868799912063E-2</v>
      </c>
      <c r="Z13" s="69">
        <f>SUMIFS('Drivers Macroeconômico'!$AT:$AT,'Drivers Macroeconômico'!$AW:$AW,'Avaliação e Simulações'!Z$1)</f>
        <v>4.2402868799912063E-2</v>
      </c>
      <c r="AA13" s="69">
        <f>SUMIFS('Drivers Macroeconômico'!$AT:$AT,'Drivers Macroeconômico'!$AW:$AW,'Avaliação e Simulações'!AA$1)</f>
        <v>4.2402868799912063E-2</v>
      </c>
      <c r="AB13" s="69">
        <f>SUMIFS('Drivers Macroeconômico'!$AT:$AT,'Drivers Macroeconômico'!$AW:$AW,'Avaliação e Simulações'!AB$1)</f>
        <v>4.2402868799912063E-2</v>
      </c>
      <c r="AC13" s="69">
        <f>SUMIFS('Drivers Macroeconômico'!$AT:$AT,'Drivers Macroeconômico'!$AW:$AW,'Avaliação e Simulações'!AC$1)</f>
        <v>4.2402868799912063E-2</v>
      </c>
      <c r="AD13" s="69">
        <f>SUMIFS('Drivers Macroeconômico'!$AT:$AT,'Drivers Macroeconômico'!$AW:$AW,'Avaliação e Simulações'!AD$1)</f>
        <v>4.2402868799912063E-2</v>
      </c>
      <c r="AE13" s="69">
        <f>SUMIFS('Drivers Macroeconômico'!$AT:$AT,'Drivers Macroeconômico'!$AW:$AW,'Avaliação e Simulações'!AE$1)</f>
        <v>4.2402868799912063E-2</v>
      </c>
      <c r="AF13" s="69">
        <f>SUMIFS('Drivers Macroeconômico'!$AT:$AT,'Drivers Macroeconômico'!$AW:$AW,'Avaliação e Simulações'!AF$1)</f>
        <v>4.2402868799912063E-2</v>
      </c>
      <c r="AG13" s="69">
        <f>SUMIFS('Drivers Macroeconômico'!$AT:$AT,'Drivers Macroeconômico'!$AW:$AW,'Avaliação e Simulações'!AG$1)</f>
        <v>4.2402868799912063E-2</v>
      </c>
      <c r="AH13" s="69">
        <f>SUMIFS('Drivers Macroeconômico'!$AT:$AT,'Drivers Macroeconômico'!$AW:$AW,'Avaliação e Simulações'!AH$1)</f>
        <v>4.2402868799912063E-2</v>
      </c>
      <c r="AI13" s="69">
        <f>SUMIFS('Drivers Macroeconômico'!$AT:$AT,'Drivers Macroeconômico'!$AW:$AW,'Avaliação e Simulações'!AI$1)</f>
        <v>4.2402868799912063E-2</v>
      </c>
      <c r="AJ13" s="69">
        <f>SUMIFS('Drivers Macroeconômico'!$AT:$AT,'Drivers Macroeconômico'!$AW:$AW,'Avaliação e Simulações'!AJ$1)</f>
        <v>4.2402868799912063E-2</v>
      </c>
      <c r="AK13" s="69">
        <f>SUMIFS('Drivers Macroeconômico'!$AT:$AT,'Drivers Macroeconômico'!$AW:$AW,'Avaliação e Simulações'!AK$1)</f>
        <v>4.2402868799912063E-2</v>
      </c>
      <c r="AL13" s="69">
        <f>SUMIFS('Drivers Macroeconômico'!$AT:$AT,'Drivers Macroeconômico'!$AW:$AW,'Avaliação e Simulações'!AL$1)</f>
        <v>4.2402868799912063E-2</v>
      </c>
      <c r="AM13" s="69">
        <f>SUMIFS('Drivers Macroeconômico'!$AT:$AT,'Drivers Macroeconômico'!$AW:$AW,'Avaliação e Simulações'!AM$1)</f>
        <v>4.2402868799912063E-2</v>
      </c>
      <c r="AN13" s="69">
        <f>SUMIFS('Drivers Macroeconômico'!$AT:$AT,'Drivers Macroeconômico'!$AW:$AW,'Avaliação e Simulações'!AN$1)</f>
        <v>4.2402868799912063E-2</v>
      </c>
      <c r="AO13" s="69">
        <f>SUMIFS('Drivers Macroeconômico'!$AT:$AT,'Drivers Macroeconômico'!$AW:$AW,'Avaliação e Simulações'!AO$1)</f>
        <v>4.2402868799912063E-2</v>
      </c>
      <c r="AP13" s="69">
        <f>SUMIFS('Drivers Macroeconômico'!$AT:$AT,'Drivers Macroeconômico'!$AW:$AW,'Avaliação e Simulações'!AP$1)</f>
        <v>4.2402868799912063E-2</v>
      </c>
      <c r="AQ13" s="69">
        <f>SUMIFS('Drivers Macroeconômico'!$AT:$AT,'Drivers Macroeconômico'!$AW:$AW,'Avaliação e Simulações'!AQ$1)</f>
        <v>4.2402868799912063E-2</v>
      </c>
      <c r="AR13" s="69">
        <f>SUMIFS('Drivers Macroeconômico'!$AT:$AT,'Drivers Macroeconômico'!$AW:$AW,'Avaliação e Simulações'!AR$1)</f>
        <v>4.2402868799912063E-2</v>
      </c>
      <c r="AS13" s="69">
        <f>SUMIFS('Drivers Macroeconômico'!$AT:$AT,'Drivers Macroeconômico'!$AW:$AW,'Avaliação e Simulações'!AS$1)</f>
        <v>4.2402868799912063E-2</v>
      </c>
      <c r="AT13" s="69">
        <f>SUMIFS('Drivers Macroeconômico'!$AT:$AT,'Drivers Macroeconômico'!$AW:$AW,'Avaliação e Simulações'!AT$1)</f>
        <v>4.2402868799912063E-2</v>
      </c>
      <c r="AU13" s="69">
        <f>SUMIFS('Drivers Macroeconômico'!$AT:$AT,'Drivers Macroeconômico'!$AW:$AW,'Avaliação e Simulações'!AU$1)</f>
        <v>4.2402868799912063E-2</v>
      </c>
    </row>
    <row r="14" spans="1:47" x14ac:dyDescent="0.3">
      <c r="A14" s="43" t="s">
        <v>522</v>
      </c>
      <c r="B14" s="2"/>
      <c r="E14" s="70">
        <f ca="1">E15*(1+(1-'Fluxo de Caixa dos Acionistas'!$B$50)*'Avaliação e Simulações'!E16)</f>
        <v>1.3211446375959874</v>
      </c>
      <c r="F14" s="70">
        <f ca="1">F15*(1+(1-'Fluxo de Caixa dos Acionistas'!$B$50)*'Avaliação e Simulações'!F16)</f>
        <v>1.2455517907635743</v>
      </c>
      <c r="G14" s="70">
        <f ca="1">G15*(1+(1-'Fluxo de Caixa dos Acionistas'!$B$50)*'Avaliação e Simulações'!G16)</f>
        <v>1.138883916589569</v>
      </c>
      <c r="H14" s="70">
        <f ca="1">H15*(1+(1-'Fluxo de Caixa dos Acionistas'!$B$50)*'Avaliação e Simulações'!H16)</f>
        <v>1.117060341891265</v>
      </c>
      <c r="I14" s="70">
        <f ca="1">I15*(1+(1-'Fluxo de Caixa dos Acionistas'!$B$50)*'Avaliação e Simulações'!I16)</f>
        <v>1.0900000000000001</v>
      </c>
      <c r="J14" s="70">
        <f ca="1">J15*(1+(1-'Fluxo de Caixa dos Acionistas'!$B$50)*'Avaliação e Simulações'!J16)</f>
        <v>1.0900000000000001</v>
      </c>
      <c r="K14" s="70">
        <f ca="1">K15*(1+(1-'Fluxo de Caixa dos Acionistas'!$B$50)*'Avaliação e Simulações'!K16)</f>
        <v>1.0900000000000001</v>
      </c>
      <c r="L14" s="70">
        <f ca="1">L15*(1+(1-'Fluxo de Caixa dos Acionistas'!$B$50)*'Avaliação e Simulações'!L16)</f>
        <v>1.0900000000000001</v>
      </c>
      <c r="M14" s="70">
        <f ca="1">M15*(1+(1-'Fluxo de Caixa dos Acionistas'!$B$50)*'Avaliação e Simulações'!M16)</f>
        <v>1.0900000000000001</v>
      </c>
      <c r="N14" s="70">
        <f ca="1">N15*(1+(1-'Fluxo de Caixa dos Acionistas'!$B$50)*'Avaliação e Simulações'!N16)</f>
        <v>1.0900000000000001</v>
      </c>
      <c r="O14" s="70">
        <f ca="1">O15*(1+(1-'Fluxo de Caixa dos Acionistas'!$B$50)*'Avaliação e Simulações'!O16)</f>
        <v>1.0900000000000001</v>
      </c>
      <c r="P14" s="70">
        <f ca="1">P15*(1+(1-'Fluxo de Caixa dos Acionistas'!$B$50)*'Avaliação e Simulações'!P16)</f>
        <v>1.0900000000000001</v>
      </c>
      <c r="Q14" s="70">
        <f ca="1">Q15*(1+(1-'Fluxo de Caixa dos Acionistas'!$B$50)*'Avaliação e Simulações'!Q16)</f>
        <v>1.0900000000000001</v>
      </c>
      <c r="R14" s="70">
        <f ca="1">R15*(1+(1-'Fluxo de Caixa dos Acionistas'!$B$50)*'Avaliação e Simulações'!R16)</f>
        <v>1.0900000000000001</v>
      </c>
      <c r="S14" s="70">
        <f ca="1">S15*(1+(1-'Fluxo de Caixa dos Acionistas'!$B$50)*'Avaliação e Simulações'!S16)</f>
        <v>1.0900000000000001</v>
      </c>
      <c r="T14" s="70">
        <f ca="1">T15*(1+(1-'Fluxo de Caixa dos Acionistas'!$B$50)*'Avaliação e Simulações'!T16)</f>
        <v>1.0900000000000001</v>
      </c>
      <c r="U14" s="70">
        <f ca="1">U15*(1+(1-'Fluxo de Caixa dos Acionistas'!$B$50)*'Avaliação e Simulações'!U16)</f>
        <v>1.0900000000000001</v>
      </c>
      <c r="V14" s="70">
        <f ca="1">V15*(1+(1-'Fluxo de Caixa dos Acionistas'!$B$50)*'Avaliação e Simulações'!V16)</f>
        <v>1.0900000000000001</v>
      </c>
      <c r="W14" s="70">
        <f ca="1">W15*(1+(1-'Fluxo de Caixa dos Acionistas'!$B$50)*'Avaliação e Simulações'!W16)</f>
        <v>1.0900000000000001</v>
      </c>
      <c r="X14" s="70">
        <f ca="1">X15*(1+(1-'Fluxo de Caixa dos Acionistas'!$B$50)*'Avaliação e Simulações'!X16)</f>
        <v>1.0900000000000001</v>
      </c>
      <c r="Y14" s="70">
        <f ca="1">Y15*(1+(1-'Fluxo de Caixa dos Acionistas'!$B$50)*'Avaliação e Simulações'!Y16)</f>
        <v>1.0900000000000001</v>
      </c>
      <c r="Z14" s="70">
        <f ca="1">Z15*(1+(1-'Fluxo de Caixa dos Acionistas'!$B$50)*'Avaliação e Simulações'!Z16)</f>
        <v>1.0900000000000001</v>
      </c>
      <c r="AA14" s="70">
        <f ca="1">AA15*(1+(1-'Fluxo de Caixa dos Acionistas'!$B$50)*'Avaliação e Simulações'!AA16)</f>
        <v>1.0900000000000001</v>
      </c>
      <c r="AB14" s="70">
        <f ca="1">AB15*(1+(1-'Fluxo de Caixa dos Acionistas'!$B$50)*'Avaliação e Simulações'!AB16)</f>
        <v>1.0900000000000001</v>
      </c>
      <c r="AC14" s="70">
        <f ca="1">AC15*(1+(1-'Fluxo de Caixa dos Acionistas'!$B$50)*'Avaliação e Simulações'!AC16)</f>
        <v>1.0900000000000001</v>
      </c>
      <c r="AD14" s="70">
        <f ca="1">AD15*(1+(1-'Fluxo de Caixa dos Acionistas'!$B$50)*'Avaliação e Simulações'!AD16)</f>
        <v>1.0900000000000001</v>
      </c>
      <c r="AE14" s="70">
        <f ca="1">AE15*(1+(1-'Fluxo de Caixa dos Acionistas'!$B$50)*'Avaliação e Simulações'!AE16)</f>
        <v>1.0900000000000001</v>
      </c>
      <c r="AF14" s="70">
        <f ca="1">AF15*(1+(1-'Fluxo de Caixa dos Acionistas'!$B$50)*'Avaliação e Simulações'!AF16)</f>
        <v>1.0900000000000001</v>
      </c>
      <c r="AG14" s="70">
        <f ca="1">AG15*(1+(1-'Fluxo de Caixa dos Acionistas'!$B$50)*'Avaliação e Simulações'!AG16)</f>
        <v>1.0900000000000001</v>
      </c>
      <c r="AH14" s="70">
        <f ca="1">AH15*(1+(1-'Fluxo de Caixa dos Acionistas'!$B$50)*'Avaliação e Simulações'!AH16)</f>
        <v>1.0900000000000001</v>
      </c>
      <c r="AI14" s="70">
        <f ca="1">AI15*(1+(1-'Fluxo de Caixa dos Acionistas'!$B$50)*'Avaliação e Simulações'!AI16)</f>
        <v>1.0900000000000001</v>
      </c>
      <c r="AJ14" s="70">
        <f ca="1">AJ15*(1+(1-'Fluxo de Caixa dos Acionistas'!$B$50)*'Avaliação e Simulações'!AJ16)</f>
        <v>1.0900000000000001</v>
      </c>
      <c r="AK14" s="70">
        <f ca="1">AK15*(1+(1-'Fluxo de Caixa dos Acionistas'!$B$50)*'Avaliação e Simulações'!AK16)</f>
        <v>1.0900000000000001</v>
      </c>
      <c r="AL14" s="70">
        <f ca="1">AL15*(1+(1-'Fluxo de Caixa dos Acionistas'!$B$50)*'Avaliação e Simulações'!AL16)</f>
        <v>1.0900000000000001</v>
      </c>
      <c r="AM14" s="70">
        <f ca="1">AM15*(1+(1-'Fluxo de Caixa dos Acionistas'!$B$50)*'Avaliação e Simulações'!AM16)</f>
        <v>1.0900000000000001</v>
      </c>
      <c r="AN14" s="70">
        <f ca="1">AN15*(1+(1-'Fluxo de Caixa dos Acionistas'!$B$50)*'Avaliação e Simulações'!AN16)</f>
        <v>1.0900000000000001</v>
      </c>
      <c r="AO14" s="70">
        <f ca="1">AO15*(1+(1-'Fluxo de Caixa dos Acionistas'!$B$50)*'Avaliação e Simulações'!AO16)</f>
        <v>1.0900000000000001</v>
      </c>
      <c r="AP14" s="70">
        <f ca="1">AP15*(1+(1-'Fluxo de Caixa dos Acionistas'!$B$50)*'Avaliação e Simulações'!AP16)</f>
        <v>1.0900000000000001</v>
      </c>
      <c r="AQ14" s="70">
        <f ca="1">AQ15*(1+(1-'Fluxo de Caixa dos Acionistas'!$B$50)*'Avaliação e Simulações'!AQ16)</f>
        <v>1.0900000000000001</v>
      </c>
      <c r="AR14" s="70">
        <f ca="1">AR15*(1+(1-'Fluxo de Caixa dos Acionistas'!$B$50)*'Avaliação e Simulações'!AR16)</f>
        <v>1.0900000000000001</v>
      </c>
      <c r="AS14" s="70">
        <f ca="1">AS15*(1+(1-'Fluxo de Caixa dos Acionistas'!$B$50)*'Avaliação e Simulações'!AS16)</f>
        <v>1.0900000000000001</v>
      </c>
      <c r="AT14" s="70">
        <f ca="1">AT15*(1+(1-'Fluxo de Caixa dos Acionistas'!$B$50)*'Avaliação e Simulações'!AT16)</f>
        <v>1.0900000000000001</v>
      </c>
      <c r="AU14" s="70">
        <f ca="1">AU15*(1+(1-'Fluxo de Caixa dos Acionistas'!$B$50)*'Avaliação e Simulações'!AU16)</f>
        <v>1.0900000000000001</v>
      </c>
    </row>
    <row r="15" spans="1:47" x14ac:dyDescent="0.3">
      <c r="A15" s="44" t="s">
        <v>17</v>
      </c>
      <c r="B15" s="25"/>
      <c r="E15" s="70">
        <f>$B$9</f>
        <v>1.0900000000000001</v>
      </c>
      <c r="F15" s="70">
        <f t="shared" ref="F15:AU15" si="3">$B$9</f>
        <v>1.0900000000000001</v>
      </c>
      <c r="G15" s="70">
        <f t="shared" si="3"/>
        <v>1.0900000000000001</v>
      </c>
      <c r="H15" s="70">
        <f t="shared" si="3"/>
        <v>1.0900000000000001</v>
      </c>
      <c r="I15" s="70">
        <f t="shared" si="3"/>
        <v>1.0900000000000001</v>
      </c>
      <c r="J15" s="70">
        <f t="shared" si="3"/>
        <v>1.0900000000000001</v>
      </c>
      <c r="K15" s="70">
        <f t="shared" si="3"/>
        <v>1.0900000000000001</v>
      </c>
      <c r="L15" s="70">
        <f t="shared" si="3"/>
        <v>1.0900000000000001</v>
      </c>
      <c r="M15" s="70">
        <f t="shared" si="3"/>
        <v>1.0900000000000001</v>
      </c>
      <c r="N15" s="70">
        <f t="shared" si="3"/>
        <v>1.0900000000000001</v>
      </c>
      <c r="O15" s="70">
        <f t="shared" si="3"/>
        <v>1.0900000000000001</v>
      </c>
      <c r="P15" s="70">
        <f t="shared" si="3"/>
        <v>1.0900000000000001</v>
      </c>
      <c r="Q15" s="70">
        <f t="shared" si="3"/>
        <v>1.0900000000000001</v>
      </c>
      <c r="R15" s="70">
        <f t="shared" si="3"/>
        <v>1.0900000000000001</v>
      </c>
      <c r="S15" s="70">
        <f t="shared" si="3"/>
        <v>1.0900000000000001</v>
      </c>
      <c r="T15" s="70">
        <f t="shared" si="3"/>
        <v>1.0900000000000001</v>
      </c>
      <c r="U15" s="70">
        <f t="shared" si="3"/>
        <v>1.0900000000000001</v>
      </c>
      <c r="V15" s="70">
        <f t="shared" si="3"/>
        <v>1.0900000000000001</v>
      </c>
      <c r="W15" s="70">
        <f t="shared" si="3"/>
        <v>1.0900000000000001</v>
      </c>
      <c r="X15" s="70">
        <f t="shared" si="3"/>
        <v>1.0900000000000001</v>
      </c>
      <c r="Y15" s="70">
        <f t="shared" si="3"/>
        <v>1.0900000000000001</v>
      </c>
      <c r="Z15" s="70">
        <f t="shared" si="3"/>
        <v>1.0900000000000001</v>
      </c>
      <c r="AA15" s="70">
        <f t="shared" si="3"/>
        <v>1.0900000000000001</v>
      </c>
      <c r="AB15" s="70">
        <f t="shared" si="3"/>
        <v>1.0900000000000001</v>
      </c>
      <c r="AC15" s="70">
        <f t="shared" si="3"/>
        <v>1.0900000000000001</v>
      </c>
      <c r="AD15" s="70">
        <f t="shared" si="3"/>
        <v>1.0900000000000001</v>
      </c>
      <c r="AE15" s="70">
        <f t="shared" si="3"/>
        <v>1.0900000000000001</v>
      </c>
      <c r="AF15" s="70">
        <f t="shared" si="3"/>
        <v>1.0900000000000001</v>
      </c>
      <c r="AG15" s="70">
        <f t="shared" si="3"/>
        <v>1.0900000000000001</v>
      </c>
      <c r="AH15" s="70">
        <f t="shared" si="3"/>
        <v>1.0900000000000001</v>
      </c>
      <c r="AI15" s="70">
        <f t="shared" si="3"/>
        <v>1.0900000000000001</v>
      </c>
      <c r="AJ15" s="70">
        <f t="shared" si="3"/>
        <v>1.0900000000000001</v>
      </c>
      <c r="AK15" s="70">
        <f t="shared" si="3"/>
        <v>1.0900000000000001</v>
      </c>
      <c r="AL15" s="70">
        <f t="shared" si="3"/>
        <v>1.0900000000000001</v>
      </c>
      <c r="AM15" s="70">
        <f t="shared" si="3"/>
        <v>1.0900000000000001</v>
      </c>
      <c r="AN15" s="70">
        <f t="shared" si="3"/>
        <v>1.0900000000000001</v>
      </c>
      <c r="AO15" s="70">
        <f t="shared" si="3"/>
        <v>1.0900000000000001</v>
      </c>
      <c r="AP15" s="70">
        <f t="shared" si="3"/>
        <v>1.0900000000000001</v>
      </c>
      <c r="AQ15" s="70">
        <f t="shared" si="3"/>
        <v>1.0900000000000001</v>
      </c>
      <c r="AR15" s="70">
        <f t="shared" si="3"/>
        <v>1.0900000000000001</v>
      </c>
      <c r="AS15" s="70">
        <f t="shared" si="3"/>
        <v>1.0900000000000001</v>
      </c>
      <c r="AT15" s="70">
        <f t="shared" si="3"/>
        <v>1.0900000000000001</v>
      </c>
      <c r="AU15" s="70">
        <f t="shared" si="3"/>
        <v>1.0900000000000001</v>
      </c>
    </row>
    <row r="16" spans="1:47" x14ac:dyDescent="0.3">
      <c r="A16" s="44" t="s">
        <v>392</v>
      </c>
      <c r="B16" s="2"/>
      <c r="E16" s="70">
        <f ca="1">'Resultado Financeiro e Dívida'!AG31</f>
        <v>0.32130197052542037</v>
      </c>
      <c r="F16" s="70">
        <f ca="1">'Resultado Financeiro e Dívida'!AH31</f>
        <v>0.21622434078895497</v>
      </c>
      <c r="G16" s="70">
        <f ca="1">'Resultado Financeiro e Dívida'!AI31</f>
        <v>6.795095439195005E-2</v>
      </c>
      <c r="H16" s="70">
        <f ca="1">'Resultado Financeiro e Dívida'!AJ31</f>
        <v>3.7615154144099244E-2</v>
      </c>
      <c r="I16" s="70">
        <f ca="1">'Resultado Financeiro e Dívida'!AK31</f>
        <v>0</v>
      </c>
      <c r="J16" s="70">
        <f ca="1">'Resultado Financeiro e Dívida'!AL31</f>
        <v>0</v>
      </c>
      <c r="K16" s="70">
        <f ca="1">'Resultado Financeiro e Dívida'!AM31</f>
        <v>0</v>
      </c>
      <c r="L16" s="70">
        <f ca="1">'Resultado Financeiro e Dívida'!AN31</f>
        <v>0</v>
      </c>
      <c r="M16" s="70">
        <f ca="1">'Resultado Financeiro e Dívida'!AO31</f>
        <v>0</v>
      </c>
      <c r="N16" s="70">
        <f ca="1">'Resultado Financeiro e Dívida'!AP31</f>
        <v>0</v>
      </c>
      <c r="O16" s="70">
        <f ca="1">'Resultado Financeiro e Dívida'!AQ31</f>
        <v>0</v>
      </c>
      <c r="P16" s="70">
        <f ca="1">'Resultado Financeiro e Dívida'!AR31</f>
        <v>0</v>
      </c>
      <c r="Q16" s="70">
        <f ca="1">'Resultado Financeiro e Dívida'!AS31</f>
        <v>0</v>
      </c>
      <c r="R16" s="70">
        <f ca="1">'Resultado Financeiro e Dívida'!AT31</f>
        <v>0</v>
      </c>
      <c r="S16" s="70">
        <f ca="1">'Resultado Financeiro e Dívida'!AU31</f>
        <v>0</v>
      </c>
      <c r="T16" s="70">
        <f ca="1">'Resultado Financeiro e Dívida'!AV31</f>
        <v>0</v>
      </c>
      <c r="U16" s="70">
        <f ca="1">'Resultado Financeiro e Dívida'!AW31</f>
        <v>0</v>
      </c>
      <c r="V16" s="70">
        <f ca="1">'Resultado Financeiro e Dívida'!AX31</f>
        <v>0</v>
      </c>
      <c r="W16" s="70">
        <f ca="1">'Resultado Financeiro e Dívida'!AY31</f>
        <v>0</v>
      </c>
      <c r="X16" s="70">
        <f ca="1">'Resultado Financeiro e Dívida'!AZ31</f>
        <v>0</v>
      </c>
      <c r="Y16" s="70">
        <f ca="1">'Resultado Financeiro e Dívida'!BA31</f>
        <v>0</v>
      </c>
      <c r="Z16" s="70">
        <f ca="1">'Resultado Financeiro e Dívida'!BB31</f>
        <v>0</v>
      </c>
      <c r="AA16" s="70">
        <f ca="1">'Resultado Financeiro e Dívida'!BC31</f>
        <v>0</v>
      </c>
      <c r="AB16" s="70">
        <f ca="1">'Resultado Financeiro e Dívida'!BD31</f>
        <v>0</v>
      </c>
      <c r="AC16" s="70">
        <f ca="1">'Resultado Financeiro e Dívida'!BE31</f>
        <v>0</v>
      </c>
      <c r="AD16" s="70">
        <f ca="1">'Resultado Financeiro e Dívida'!BF31</f>
        <v>0</v>
      </c>
      <c r="AE16" s="70">
        <f ca="1">'Resultado Financeiro e Dívida'!BG31</f>
        <v>0</v>
      </c>
      <c r="AF16" s="70">
        <f ca="1">'Resultado Financeiro e Dívida'!BH31</f>
        <v>0</v>
      </c>
      <c r="AG16" s="70">
        <f ca="1">'Resultado Financeiro e Dívida'!BI31</f>
        <v>0</v>
      </c>
      <c r="AH16" s="70">
        <f ca="1">'Resultado Financeiro e Dívida'!BJ31</f>
        <v>0</v>
      </c>
      <c r="AI16" s="70">
        <f ca="1">'Resultado Financeiro e Dívida'!BK31</f>
        <v>0</v>
      </c>
      <c r="AJ16" s="70">
        <f ca="1">'Resultado Financeiro e Dívida'!BL31</f>
        <v>0</v>
      </c>
      <c r="AK16" s="70">
        <f ca="1">'Resultado Financeiro e Dívida'!BM31</f>
        <v>0</v>
      </c>
      <c r="AL16" s="70">
        <f ca="1">'Resultado Financeiro e Dívida'!BN31</f>
        <v>0</v>
      </c>
      <c r="AM16" s="70">
        <f ca="1">'Resultado Financeiro e Dívida'!BO31</f>
        <v>0</v>
      </c>
      <c r="AN16" s="70">
        <f ca="1">'Resultado Financeiro e Dívida'!BP31</f>
        <v>0</v>
      </c>
      <c r="AO16" s="70">
        <f ca="1">'Resultado Financeiro e Dívida'!BQ31</f>
        <v>0</v>
      </c>
      <c r="AP16" s="70">
        <f ca="1">'Resultado Financeiro e Dívida'!BR31</f>
        <v>0</v>
      </c>
      <c r="AQ16" s="70">
        <f ca="1">'Resultado Financeiro e Dívida'!BS31</f>
        <v>0</v>
      </c>
      <c r="AR16" s="70">
        <f ca="1">'Resultado Financeiro e Dívida'!BT31</f>
        <v>0</v>
      </c>
      <c r="AS16" s="70">
        <f ca="1">'Resultado Financeiro e Dívida'!BU31</f>
        <v>0</v>
      </c>
      <c r="AT16" s="70">
        <f ca="1">'Resultado Financeiro e Dívida'!BV31</f>
        <v>0</v>
      </c>
      <c r="AU16" s="70">
        <f ca="1">'Resultado Financeiro e Dívida'!BW31</f>
        <v>0</v>
      </c>
    </row>
    <row r="17" spans="1:47" x14ac:dyDescent="0.3">
      <c r="A17" s="43" t="s">
        <v>18</v>
      </c>
      <c r="B17" s="25"/>
      <c r="E17" s="74">
        <f>B8</f>
        <v>4.1799999999999997E-2</v>
      </c>
      <c r="F17" s="74">
        <f t="shared" ref="F17:AJ17" si="4">E17</f>
        <v>4.1799999999999997E-2</v>
      </c>
      <c r="G17" s="74">
        <f t="shared" si="4"/>
        <v>4.1799999999999997E-2</v>
      </c>
      <c r="H17" s="74">
        <f t="shared" si="4"/>
        <v>4.1799999999999997E-2</v>
      </c>
      <c r="I17" s="74">
        <f t="shared" si="4"/>
        <v>4.1799999999999997E-2</v>
      </c>
      <c r="J17" s="74">
        <f t="shared" si="4"/>
        <v>4.1799999999999997E-2</v>
      </c>
      <c r="K17" s="74">
        <f t="shared" si="4"/>
        <v>4.1799999999999997E-2</v>
      </c>
      <c r="L17" s="74">
        <f t="shared" si="4"/>
        <v>4.1799999999999997E-2</v>
      </c>
      <c r="M17" s="74">
        <f t="shared" si="4"/>
        <v>4.1799999999999997E-2</v>
      </c>
      <c r="N17" s="74">
        <f t="shared" si="4"/>
        <v>4.1799999999999997E-2</v>
      </c>
      <c r="O17" s="74">
        <f t="shared" si="4"/>
        <v>4.1799999999999997E-2</v>
      </c>
      <c r="P17" s="74">
        <f t="shared" si="4"/>
        <v>4.1799999999999997E-2</v>
      </c>
      <c r="Q17" s="74">
        <f t="shared" si="4"/>
        <v>4.1799999999999997E-2</v>
      </c>
      <c r="R17" s="74">
        <f t="shared" si="4"/>
        <v>4.1799999999999997E-2</v>
      </c>
      <c r="S17" s="74">
        <f t="shared" si="4"/>
        <v>4.1799999999999997E-2</v>
      </c>
      <c r="T17" s="74">
        <f t="shared" si="4"/>
        <v>4.1799999999999997E-2</v>
      </c>
      <c r="U17" s="74">
        <f t="shared" si="4"/>
        <v>4.1799999999999997E-2</v>
      </c>
      <c r="V17" s="74">
        <f t="shared" si="4"/>
        <v>4.1799999999999997E-2</v>
      </c>
      <c r="W17" s="74">
        <f t="shared" si="4"/>
        <v>4.1799999999999997E-2</v>
      </c>
      <c r="X17" s="74">
        <f t="shared" si="4"/>
        <v>4.1799999999999997E-2</v>
      </c>
      <c r="Y17" s="74">
        <f t="shared" si="4"/>
        <v>4.1799999999999997E-2</v>
      </c>
      <c r="Z17" s="74">
        <f t="shared" si="4"/>
        <v>4.1799999999999997E-2</v>
      </c>
      <c r="AA17" s="74">
        <f t="shared" si="4"/>
        <v>4.1799999999999997E-2</v>
      </c>
      <c r="AB17" s="74">
        <f t="shared" si="4"/>
        <v>4.1799999999999997E-2</v>
      </c>
      <c r="AC17" s="74">
        <f t="shared" si="4"/>
        <v>4.1799999999999997E-2</v>
      </c>
      <c r="AD17" s="74">
        <f t="shared" si="4"/>
        <v>4.1799999999999997E-2</v>
      </c>
      <c r="AE17" s="74">
        <f t="shared" si="4"/>
        <v>4.1799999999999997E-2</v>
      </c>
      <c r="AF17" s="74">
        <f t="shared" si="4"/>
        <v>4.1799999999999997E-2</v>
      </c>
      <c r="AG17" s="74">
        <f t="shared" si="4"/>
        <v>4.1799999999999997E-2</v>
      </c>
      <c r="AH17" s="74">
        <f t="shared" si="4"/>
        <v>4.1799999999999997E-2</v>
      </c>
      <c r="AI17" s="74">
        <f t="shared" si="4"/>
        <v>4.1799999999999997E-2</v>
      </c>
      <c r="AJ17" s="74">
        <f t="shared" si="4"/>
        <v>4.1799999999999997E-2</v>
      </c>
      <c r="AK17" s="74">
        <f t="shared" ref="AK17:AU17" si="5">AJ17</f>
        <v>4.1799999999999997E-2</v>
      </c>
      <c r="AL17" s="74">
        <f t="shared" si="5"/>
        <v>4.1799999999999997E-2</v>
      </c>
      <c r="AM17" s="74">
        <f t="shared" si="5"/>
        <v>4.1799999999999997E-2</v>
      </c>
      <c r="AN17" s="74">
        <f t="shared" si="5"/>
        <v>4.1799999999999997E-2</v>
      </c>
      <c r="AO17" s="74">
        <f t="shared" si="5"/>
        <v>4.1799999999999997E-2</v>
      </c>
      <c r="AP17" s="74">
        <f t="shared" si="5"/>
        <v>4.1799999999999997E-2</v>
      </c>
      <c r="AQ17" s="74">
        <f t="shared" si="5"/>
        <v>4.1799999999999997E-2</v>
      </c>
      <c r="AR17" s="74">
        <f t="shared" si="5"/>
        <v>4.1799999999999997E-2</v>
      </c>
      <c r="AS17" s="74">
        <f t="shared" si="5"/>
        <v>4.1799999999999997E-2</v>
      </c>
      <c r="AT17" s="74">
        <f t="shared" si="5"/>
        <v>4.1799999999999997E-2</v>
      </c>
      <c r="AU17" s="74">
        <f t="shared" si="5"/>
        <v>4.1799999999999997E-2</v>
      </c>
    </row>
    <row r="18" spans="1:47" x14ac:dyDescent="0.3">
      <c r="A18" s="34" t="s">
        <v>527</v>
      </c>
      <c r="B18" s="25"/>
      <c r="E18" s="69">
        <f ca="1">E19+E12</f>
        <v>0.12728584585151226</v>
      </c>
      <c r="F18" s="69">
        <f t="shared" ref="F18:AU18" ca="1" si="6">F19+F12</f>
        <v>0.11693840301080992</v>
      </c>
      <c r="G18" s="69">
        <f t="shared" ca="1" si="6"/>
        <v>0.10948120884073419</v>
      </c>
      <c r="H18" s="69">
        <f t="shared" ca="1" si="6"/>
        <v>0.10871030827606308</v>
      </c>
      <c r="I18" s="69">
        <f t="shared" ca="1" si="6"/>
        <v>0.10757918598500819</v>
      </c>
      <c r="J18" s="69">
        <f t="shared" ca="1" si="6"/>
        <v>0.11047404195234183</v>
      </c>
      <c r="K18" s="69">
        <f t="shared" ca="1" si="6"/>
        <v>0.11047404195234183</v>
      </c>
      <c r="L18" s="69">
        <f t="shared" ca="1" si="6"/>
        <v>0.10989070395068561</v>
      </c>
      <c r="M18" s="69">
        <f t="shared" ca="1" si="6"/>
        <v>0.10989070395068561</v>
      </c>
      <c r="N18" s="69">
        <f t="shared" ca="1" si="6"/>
        <v>0.10989070395068561</v>
      </c>
      <c r="O18" s="69">
        <f t="shared" ca="1" si="6"/>
        <v>0.11512999290440144</v>
      </c>
      <c r="P18" s="69">
        <f t="shared" ca="1" si="6"/>
        <v>0.11512999290440144</v>
      </c>
      <c r="Q18" s="69">
        <f t="shared" ca="1" si="6"/>
        <v>0.11512999290440144</v>
      </c>
      <c r="R18" s="69">
        <f t="shared" ca="1" si="6"/>
        <v>0.11512999290440144</v>
      </c>
      <c r="S18" s="69">
        <f t="shared" ca="1" si="6"/>
        <v>0.11512999290440144</v>
      </c>
      <c r="T18" s="69">
        <f t="shared" ca="1" si="6"/>
        <v>0.11512999290440144</v>
      </c>
      <c r="U18" s="69">
        <f t="shared" ca="1" si="6"/>
        <v>0.11512999290440144</v>
      </c>
      <c r="V18" s="69">
        <f t="shared" ca="1" si="6"/>
        <v>0.11512999290440144</v>
      </c>
      <c r="W18" s="69">
        <f t="shared" ca="1" si="6"/>
        <v>0.11512999290440144</v>
      </c>
      <c r="X18" s="69">
        <f t="shared" ca="1" si="6"/>
        <v>0.11512999290440144</v>
      </c>
      <c r="Y18" s="69">
        <f t="shared" ca="1" si="6"/>
        <v>0.10962686879991206</v>
      </c>
      <c r="Z18" s="69">
        <f t="shared" ca="1" si="6"/>
        <v>0.10962686879991206</v>
      </c>
      <c r="AA18" s="69">
        <f t="shared" ca="1" si="6"/>
        <v>0.10962686879991206</v>
      </c>
      <c r="AB18" s="69">
        <f t="shared" ca="1" si="6"/>
        <v>0.10962686879991206</v>
      </c>
      <c r="AC18" s="69">
        <f t="shared" ca="1" si="6"/>
        <v>0.10962686879991206</v>
      </c>
      <c r="AD18" s="69">
        <f t="shared" ca="1" si="6"/>
        <v>0.10962686879991206</v>
      </c>
      <c r="AE18" s="69">
        <f t="shared" ca="1" si="6"/>
        <v>0.10962686879991206</v>
      </c>
      <c r="AF18" s="69">
        <f t="shared" ca="1" si="6"/>
        <v>0.10962686879991206</v>
      </c>
      <c r="AG18" s="69">
        <f t="shared" ca="1" si="6"/>
        <v>0.10962686879991206</v>
      </c>
      <c r="AH18" s="69">
        <f t="shared" ca="1" si="6"/>
        <v>0.10962686879991206</v>
      </c>
      <c r="AI18" s="69">
        <f t="shared" ca="1" si="6"/>
        <v>0.10962686879991206</v>
      </c>
      <c r="AJ18" s="69">
        <f t="shared" ca="1" si="6"/>
        <v>0.10962686879991206</v>
      </c>
      <c r="AK18" s="69">
        <f t="shared" ca="1" si="6"/>
        <v>0.10962686879991206</v>
      </c>
      <c r="AL18" s="69">
        <f t="shared" ca="1" si="6"/>
        <v>0.10962686879991206</v>
      </c>
      <c r="AM18" s="69">
        <f t="shared" ca="1" si="6"/>
        <v>0.10962686879991206</v>
      </c>
      <c r="AN18" s="69">
        <f t="shared" ca="1" si="6"/>
        <v>0.10962686879991206</v>
      </c>
      <c r="AO18" s="69">
        <f t="shared" ca="1" si="6"/>
        <v>0.10962686879991206</v>
      </c>
      <c r="AP18" s="69">
        <f t="shared" ca="1" si="6"/>
        <v>0.10962686879991206</v>
      </c>
      <c r="AQ18" s="69">
        <f t="shared" ca="1" si="6"/>
        <v>0.10962686879991206</v>
      </c>
      <c r="AR18" s="69">
        <f t="shared" ca="1" si="6"/>
        <v>0.10962686879991206</v>
      </c>
      <c r="AS18" s="69">
        <f t="shared" ca="1" si="6"/>
        <v>0.10962686879991206</v>
      </c>
      <c r="AT18" s="69">
        <f t="shared" ca="1" si="6"/>
        <v>0.10962686879991206</v>
      </c>
      <c r="AU18" s="69">
        <f t="shared" ca="1" si="6"/>
        <v>0.10962686879991206</v>
      </c>
    </row>
    <row r="19" spans="1:47" x14ac:dyDescent="0.3">
      <c r="A19" s="43" t="s">
        <v>525</v>
      </c>
      <c r="B19" s="25"/>
      <c r="E19" s="74">
        <f t="shared" ref="E19:AU19" si="7">$B10</f>
        <v>2.1662000000000001E-2</v>
      </c>
      <c r="F19" s="74">
        <f t="shared" si="7"/>
        <v>2.1662000000000001E-2</v>
      </c>
      <c r="G19" s="74">
        <f t="shared" si="7"/>
        <v>2.1662000000000001E-2</v>
      </c>
      <c r="H19" s="74">
        <f t="shared" si="7"/>
        <v>2.1662000000000001E-2</v>
      </c>
      <c r="I19" s="74">
        <f t="shared" si="7"/>
        <v>2.1662000000000001E-2</v>
      </c>
      <c r="J19" s="74">
        <f t="shared" si="7"/>
        <v>2.1662000000000001E-2</v>
      </c>
      <c r="K19" s="74">
        <f t="shared" si="7"/>
        <v>2.1662000000000001E-2</v>
      </c>
      <c r="L19" s="74">
        <f t="shared" si="7"/>
        <v>2.1662000000000001E-2</v>
      </c>
      <c r="M19" s="74">
        <f t="shared" si="7"/>
        <v>2.1662000000000001E-2</v>
      </c>
      <c r="N19" s="74">
        <f t="shared" si="7"/>
        <v>2.1662000000000001E-2</v>
      </c>
      <c r="O19" s="74">
        <f t="shared" si="7"/>
        <v>2.1662000000000001E-2</v>
      </c>
      <c r="P19" s="74">
        <f t="shared" si="7"/>
        <v>2.1662000000000001E-2</v>
      </c>
      <c r="Q19" s="74">
        <f t="shared" si="7"/>
        <v>2.1662000000000001E-2</v>
      </c>
      <c r="R19" s="74">
        <f t="shared" si="7"/>
        <v>2.1662000000000001E-2</v>
      </c>
      <c r="S19" s="74">
        <f t="shared" si="7"/>
        <v>2.1662000000000001E-2</v>
      </c>
      <c r="T19" s="74">
        <f t="shared" si="7"/>
        <v>2.1662000000000001E-2</v>
      </c>
      <c r="U19" s="74">
        <f t="shared" si="7"/>
        <v>2.1662000000000001E-2</v>
      </c>
      <c r="V19" s="74">
        <f t="shared" si="7"/>
        <v>2.1662000000000001E-2</v>
      </c>
      <c r="W19" s="74">
        <f t="shared" si="7"/>
        <v>2.1662000000000001E-2</v>
      </c>
      <c r="X19" s="74">
        <f t="shared" si="7"/>
        <v>2.1662000000000001E-2</v>
      </c>
      <c r="Y19" s="74">
        <f t="shared" si="7"/>
        <v>2.1662000000000001E-2</v>
      </c>
      <c r="Z19" s="74">
        <f t="shared" si="7"/>
        <v>2.1662000000000001E-2</v>
      </c>
      <c r="AA19" s="74">
        <f t="shared" si="7"/>
        <v>2.1662000000000001E-2</v>
      </c>
      <c r="AB19" s="74">
        <f t="shared" si="7"/>
        <v>2.1662000000000001E-2</v>
      </c>
      <c r="AC19" s="74">
        <f t="shared" si="7"/>
        <v>2.1662000000000001E-2</v>
      </c>
      <c r="AD19" s="74">
        <f t="shared" si="7"/>
        <v>2.1662000000000001E-2</v>
      </c>
      <c r="AE19" s="74">
        <f t="shared" si="7"/>
        <v>2.1662000000000001E-2</v>
      </c>
      <c r="AF19" s="74">
        <f t="shared" si="7"/>
        <v>2.1662000000000001E-2</v>
      </c>
      <c r="AG19" s="74">
        <f t="shared" si="7"/>
        <v>2.1662000000000001E-2</v>
      </c>
      <c r="AH19" s="74">
        <f t="shared" si="7"/>
        <v>2.1662000000000001E-2</v>
      </c>
      <c r="AI19" s="74">
        <f t="shared" si="7"/>
        <v>2.1662000000000001E-2</v>
      </c>
      <c r="AJ19" s="74">
        <f t="shared" si="7"/>
        <v>2.1662000000000001E-2</v>
      </c>
      <c r="AK19" s="74">
        <f t="shared" si="7"/>
        <v>2.1662000000000001E-2</v>
      </c>
      <c r="AL19" s="74">
        <f t="shared" si="7"/>
        <v>2.1662000000000001E-2</v>
      </c>
      <c r="AM19" s="74">
        <f t="shared" si="7"/>
        <v>2.1662000000000001E-2</v>
      </c>
      <c r="AN19" s="74">
        <f t="shared" si="7"/>
        <v>2.1662000000000001E-2</v>
      </c>
      <c r="AO19" s="74">
        <f t="shared" si="7"/>
        <v>2.1662000000000001E-2</v>
      </c>
      <c r="AP19" s="74">
        <f t="shared" si="7"/>
        <v>2.1662000000000001E-2</v>
      </c>
      <c r="AQ19" s="74">
        <f t="shared" si="7"/>
        <v>2.1662000000000001E-2</v>
      </c>
      <c r="AR19" s="74">
        <f t="shared" si="7"/>
        <v>2.1662000000000001E-2</v>
      </c>
      <c r="AS19" s="74">
        <f t="shared" si="7"/>
        <v>2.1662000000000001E-2</v>
      </c>
      <c r="AT19" s="74">
        <f t="shared" si="7"/>
        <v>2.1662000000000001E-2</v>
      </c>
      <c r="AU19" s="74">
        <f t="shared" si="7"/>
        <v>2.1662000000000001E-2</v>
      </c>
    </row>
    <row r="20" spans="1:47" x14ac:dyDescent="0.3">
      <c r="A20" s="34" t="s">
        <v>675</v>
      </c>
      <c r="B20" s="25"/>
      <c r="E20" s="88">
        <v>0</v>
      </c>
      <c r="F20" s="69">
        <f t="shared" ref="F20:AU20" ca="1" si="8">(1+F22)/(F21+1)*(1+F18)-1</f>
        <v>0.13137216304027288</v>
      </c>
      <c r="G20" s="69">
        <f t="shared" ca="1" si="8"/>
        <v>0.12595943691170208</v>
      </c>
      <c r="H20" s="69">
        <f t="shared" ca="1" si="8"/>
        <v>0.12501487163306391</v>
      </c>
      <c r="I20" s="69">
        <f t="shared" ca="1" si="8"/>
        <v>0.12110577092730201</v>
      </c>
      <c r="J20" s="69">
        <f t="shared" ca="1" si="8"/>
        <v>0.12136104236363954</v>
      </c>
      <c r="K20" s="69">
        <f t="shared" ca="1" si="8"/>
        <v>0.12136104236363954</v>
      </c>
      <c r="L20" s="69">
        <f t="shared" ca="1" si="8"/>
        <v>0.12077198536196709</v>
      </c>
      <c r="M20" s="69">
        <f t="shared" ca="1" si="8"/>
        <v>0.12077198536196709</v>
      </c>
      <c r="N20" s="69">
        <f t="shared" ca="1" si="8"/>
        <v>0.12077198536196709</v>
      </c>
      <c r="O20" s="69">
        <f t="shared" ca="1" si="8"/>
        <v>0.1260626398936604</v>
      </c>
      <c r="P20" s="69">
        <f t="shared" ca="1" si="8"/>
        <v>0.1260626398936604</v>
      </c>
      <c r="Q20" s="69">
        <f t="shared" ca="1" si="8"/>
        <v>0.1260626398936604</v>
      </c>
      <c r="R20" s="69">
        <f t="shared" ca="1" si="8"/>
        <v>0.1260626398936604</v>
      </c>
      <c r="S20" s="69">
        <f t="shared" ca="1" si="8"/>
        <v>0.1260626398936604</v>
      </c>
      <c r="T20" s="69">
        <f t="shared" ca="1" si="8"/>
        <v>0.1260626398936604</v>
      </c>
      <c r="U20" s="69">
        <f t="shared" ca="1" si="8"/>
        <v>0.1260626398936604</v>
      </c>
      <c r="V20" s="69">
        <f t="shared" ca="1" si="8"/>
        <v>0.1260626398936604</v>
      </c>
      <c r="W20" s="69">
        <f t="shared" ca="1" si="8"/>
        <v>0.1260626398936604</v>
      </c>
      <c r="X20" s="69">
        <f t="shared" ca="1" si="8"/>
        <v>0.1260626398936604</v>
      </c>
      <c r="Y20" s="69">
        <f t="shared" ca="1" si="8"/>
        <v>0.12050556359206821</v>
      </c>
      <c r="Z20" s="69">
        <f t="shared" ca="1" si="8"/>
        <v>0.12050556359206821</v>
      </c>
      <c r="AA20" s="69">
        <f t="shared" ca="1" si="8"/>
        <v>0.12050556359206821</v>
      </c>
      <c r="AB20" s="69">
        <f t="shared" ca="1" si="8"/>
        <v>0.12050556359206821</v>
      </c>
      <c r="AC20" s="69">
        <f t="shared" ca="1" si="8"/>
        <v>0.12050556359206821</v>
      </c>
      <c r="AD20" s="69">
        <f t="shared" ca="1" si="8"/>
        <v>0.12050556359206821</v>
      </c>
      <c r="AE20" s="69">
        <f t="shared" ca="1" si="8"/>
        <v>0.12050556359206821</v>
      </c>
      <c r="AF20" s="69">
        <f t="shared" ca="1" si="8"/>
        <v>0.12050556359206821</v>
      </c>
      <c r="AG20" s="69">
        <f t="shared" ca="1" si="8"/>
        <v>0.12050556359206821</v>
      </c>
      <c r="AH20" s="69">
        <f t="shared" ca="1" si="8"/>
        <v>0.12050556359206821</v>
      </c>
      <c r="AI20" s="69">
        <f t="shared" ca="1" si="8"/>
        <v>0.12050556359206821</v>
      </c>
      <c r="AJ20" s="69">
        <f t="shared" ca="1" si="8"/>
        <v>0.12050556359206821</v>
      </c>
      <c r="AK20" s="69">
        <f t="shared" ca="1" si="8"/>
        <v>0.12050556359206821</v>
      </c>
      <c r="AL20" s="69">
        <f t="shared" ca="1" si="8"/>
        <v>0.12050556359206821</v>
      </c>
      <c r="AM20" s="69">
        <f t="shared" ca="1" si="8"/>
        <v>0.12050556359206821</v>
      </c>
      <c r="AN20" s="69">
        <f t="shared" ca="1" si="8"/>
        <v>0.12050556359206821</v>
      </c>
      <c r="AO20" s="69">
        <f t="shared" ca="1" si="8"/>
        <v>0.12050556359206821</v>
      </c>
      <c r="AP20" s="69">
        <f t="shared" ca="1" si="8"/>
        <v>0.12050556359206821</v>
      </c>
      <c r="AQ20" s="69">
        <f t="shared" ca="1" si="8"/>
        <v>0.12050556359206821</v>
      </c>
      <c r="AR20" s="69">
        <f t="shared" ca="1" si="8"/>
        <v>0.12050556359206821</v>
      </c>
      <c r="AS20" s="69">
        <f t="shared" ca="1" si="8"/>
        <v>0.12050556359206821</v>
      </c>
      <c r="AT20" s="69">
        <f t="shared" ca="1" si="8"/>
        <v>0.12050556359206821</v>
      </c>
      <c r="AU20" s="69">
        <f t="shared" ca="1" si="8"/>
        <v>0.12050556359206821</v>
      </c>
    </row>
    <row r="21" spans="1:47" x14ac:dyDescent="0.3">
      <c r="A21" s="43" t="s">
        <v>526</v>
      </c>
      <c r="B21" s="25"/>
      <c r="E21" s="74">
        <v>2.6004207376466137E-2</v>
      </c>
      <c r="F21" s="74">
        <v>2.3478776268814894E-2</v>
      </c>
      <c r="G21" s="74">
        <v>2.0031248697991222E-2</v>
      </c>
      <c r="H21" s="74">
        <v>2.0000000000000018E-2</v>
      </c>
      <c r="I21" s="74">
        <v>2.0000000000000018E-2</v>
      </c>
      <c r="J21" s="74">
        <v>2.0000000000000018E-2</v>
      </c>
      <c r="K21" s="74">
        <f>J21</f>
        <v>2.0000000000000018E-2</v>
      </c>
      <c r="L21" s="74">
        <f t="shared" ref="L21:AJ21" si="9">K21</f>
        <v>2.0000000000000018E-2</v>
      </c>
      <c r="M21" s="74">
        <f t="shared" si="9"/>
        <v>2.0000000000000018E-2</v>
      </c>
      <c r="N21" s="74">
        <f t="shared" si="9"/>
        <v>2.0000000000000018E-2</v>
      </c>
      <c r="O21" s="74">
        <f t="shared" si="9"/>
        <v>2.0000000000000018E-2</v>
      </c>
      <c r="P21" s="74">
        <f t="shared" si="9"/>
        <v>2.0000000000000018E-2</v>
      </c>
      <c r="Q21" s="74">
        <f t="shared" si="9"/>
        <v>2.0000000000000018E-2</v>
      </c>
      <c r="R21" s="74">
        <f t="shared" si="9"/>
        <v>2.0000000000000018E-2</v>
      </c>
      <c r="S21" s="74">
        <f t="shared" si="9"/>
        <v>2.0000000000000018E-2</v>
      </c>
      <c r="T21" s="74">
        <f t="shared" si="9"/>
        <v>2.0000000000000018E-2</v>
      </c>
      <c r="U21" s="74">
        <f t="shared" si="9"/>
        <v>2.0000000000000018E-2</v>
      </c>
      <c r="V21" s="74">
        <f t="shared" si="9"/>
        <v>2.0000000000000018E-2</v>
      </c>
      <c r="W21" s="74">
        <f t="shared" si="9"/>
        <v>2.0000000000000018E-2</v>
      </c>
      <c r="X21" s="74">
        <f t="shared" si="9"/>
        <v>2.0000000000000018E-2</v>
      </c>
      <c r="Y21" s="74">
        <f t="shared" si="9"/>
        <v>2.0000000000000018E-2</v>
      </c>
      <c r="Z21" s="74">
        <f t="shared" si="9"/>
        <v>2.0000000000000018E-2</v>
      </c>
      <c r="AA21" s="74">
        <f t="shared" si="9"/>
        <v>2.0000000000000018E-2</v>
      </c>
      <c r="AB21" s="74">
        <f t="shared" si="9"/>
        <v>2.0000000000000018E-2</v>
      </c>
      <c r="AC21" s="74">
        <f t="shared" si="9"/>
        <v>2.0000000000000018E-2</v>
      </c>
      <c r="AD21" s="74">
        <f t="shared" si="9"/>
        <v>2.0000000000000018E-2</v>
      </c>
      <c r="AE21" s="74">
        <f t="shared" si="9"/>
        <v>2.0000000000000018E-2</v>
      </c>
      <c r="AF21" s="74">
        <f t="shared" si="9"/>
        <v>2.0000000000000018E-2</v>
      </c>
      <c r="AG21" s="74">
        <f t="shared" si="9"/>
        <v>2.0000000000000018E-2</v>
      </c>
      <c r="AH21" s="74">
        <f t="shared" si="9"/>
        <v>2.0000000000000018E-2</v>
      </c>
      <c r="AI21" s="74">
        <f t="shared" si="9"/>
        <v>2.0000000000000018E-2</v>
      </c>
      <c r="AJ21" s="74">
        <f t="shared" si="9"/>
        <v>2.0000000000000018E-2</v>
      </c>
      <c r="AK21" s="74">
        <f t="shared" ref="AK21:AU21" si="10">AJ21</f>
        <v>2.0000000000000018E-2</v>
      </c>
      <c r="AL21" s="74">
        <f t="shared" si="10"/>
        <v>2.0000000000000018E-2</v>
      </c>
      <c r="AM21" s="74">
        <f t="shared" si="10"/>
        <v>2.0000000000000018E-2</v>
      </c>
      <c r="AN21" s="74">
        <f t="shared" si="10"/>
        <v>2.0000000000000018E-2</v>
      </c>
      <c r="AO21" s="74">
        <f t="shared" si="10"/>
        <v>2.0000000000000018E-2</v>
      </c>
      <c r="AP21" s="74">
        <f t="shared" si="10"/>
        <v>2.0000000000000018E-2</v>
      </c>
      <c r="AQ21" s="74">
        <f t="shared" si="10"/>
        <v>2.0000000000000018E-2</v>
      </c>
      <c r="AR21" s="74">
        <f t="shared" si="10"/>
        <v>2.0000000000000018E-2</v>
      </c>
      <c r="AS21" s="74">
        <f t="shared" si="10"/>
        <v>2.0000000000000018E-2</v>
      </c>
      <c r="AT21" s="74">
        <f t="shared" si="10"/>
        <v>2.0000000000000018E-2</v>
      </c>
      <c r="AU21" s="74">
        <f t="shared" si="10"/>
        <v>2.0000000000000018E-2</v>
      </c>
    </row>
    <row r="22" spans="1:47" x14ac:dyDescent="0.3">
      <c r="A22" s="43" t="s">
        <v>529</v>
      </c>
      <c r="B22" s="25"/>
      <c r="E22" s="74">
        <v>3.8805953788752845E-2</v>
      </c>
      <c r="F22" s="74">
        <v>3.6704793936478186E-2</v>
      </c>
      <c r="G22" s="74">
        <v>3.5180948775491494E-2</v>
      </c>
      <c r="H22" s="74">
        <v>3.499999999999992E-2</v>
      </c>
      <c r="I22" s="74">
        <v>3.2457002457002337E-2</v>
      </c>
      <c r="J22" s="74">
        <v>3.0000000000000249E-2</v>
      </c>
      <c r="K22" s="74">
        <f>J22</f>
        <v>3.0000000000000249E-2</v>
      </c>
      <c r="L22" s="74">
        <f t="shared" ref="L22:AJ22" si="11">K22</f>
        <v>3.0000000000000249E-2</v>
      </c>
      <c r="M22" s="74">
        <f t="shared" si="11"/>
        <v>3.0000000000000249E-2</v>
      </c>
      <c r="N22" s="74">
        <f t="shared" si="11"/>
        <v>3.0000000000000249E-2</v>
      </c>
      <c r="O22" s="74">
        <f t="shared" si="11"/>
        <v>3.0000000000000249E-2</v>
      </c>
      <c r="P22" s="74">
        <f t="shared" si="11"/>
        <v>3.0000000000000249E-2</v>
      </c>
      <c r="Q22" s="74">
        <f t="shared" si="11"/>
        <v>3.0000000000000249E-2</v>
      </c>
      <c r="R22" s="74">
        <f t="shared" si="11"/>
        <v>3.0000000000000249E-2</v>
      </c>
      <c r="S22" s="74">
        <f t="shared" si="11"/>
        <v>3.0000000000000249E-2</v>
      </c>
      <c r="T22" s="74">
        <f t="shared" si="11"/>
        <v>3.0000000000000249E-2</v>
      </c>
      <c r="U22" s="74">
        <f t="shared" si="11"/>
        <v>3.0000000000000249E-2</v>
      </c>
      <c r="V22" s="74">
        <f t="shared" si="11"/>
        <v>3.0000000000000249E-2</v>
      </c>
      <c r="W22" s="74">
        <f t="shared" si="11"/>
        <v>3.0000000000000249E-2</v>
      </c>
      <c r="X22" s="74">
        <f t="shared" si="11"/>
        <v>3.0000000000000249E-2</v>
      </c>
      <c r="Y22" s="74">
        <f t="shared" si="11"/>
        <v>3.0000000000000249E-2</v>
      </c>
      <c r="Z22" s="74">
        <f t="shared" si="11"/>
        <v>3.0000000000000249E-2</v>
      </c>
      <c r="AA22" s="74">
        <f t="shared" si="11"/>
        <v>3.0000000000000249E-2</v>
      </c>
      <c r="AB22" s="74">
        <f t="shared" si="11"/>
        <v>3.0000000000000249E-2</v>
      </c>
      <c r="AC22" s="74">
        <f t="shared" si="11"/>
        <v>3.0000000000000249E-2</v>
      </c>
      <c r="AD22" s="74">
        <f t="shared" si="11"/>
        <v>3.0000000000000249E-2</v>
      </c>
      <c r="AE22" s="74">
        <f t="shared" si="11"/>
        <v>3.0000000000000249E-2</v>
      </c>
      <c r="AF22" s="74">
        <f t="shared" si="11"/>
        <v>3.0000000000000249E-2</v>
      </c>
      <c r="AG22" s="74">
        <f t="shared" si="11"/>
        <v>3.0000000000000249E-2</v>
      </c>
      <c r="AH22" s="74">
        <f t="shared" si="11"/>
        <v>3.0000000000000249E-2</v>
      </c>
      <c r="AI22" s="74">
        <f t="shared" si="11"/>
        <v>3.0000000000000249E-2</v>
      </c>
      <c r="AJ22" s="74">
        <f t="shared" si="11"/>
        <v>3.0000000000000249E-2</v>
      </c>
      <c r="AK22" s="74">
        <f t="shared" ref="AK22:AU22" si="12">AJ22</f>
        <v>3.0000000000000249E-2</v>
      </c>
      <c r="AL22" s="74">
        <f t="shared" si="12"/>
        <v>3.0000000000000249E-2</v>
      </c>
      <c r="AM22" s="74">
        <f t="shared" si="12"/>
        <v>3.0000000000000249E-2</v>
      </c>
      <c r="AN22" s="74">
        <f t="shared" si="12"/>
        <v>3.0000000000000249E-2</v>
      </c>
      <c r="AO22" s="74">
        <f t="shared" si="12"/>
        <v>3.0000000000000249E-2</v>
      </c>
      <c r="AP22" s="74">
        <f t="shared" si="12"/>
        <v>3.0000000000000249E-2</v>
      </c>
      <c r="AQ22" s="74">
        <f t="shared" si="12"/>
        <v>3.0000000000000249E-2</v>
      </c>
      <c r="AR22" s="74">
        <f t="shared" si="12"/>
        <v>3.0000000000000249E-2</v>
      </c>
      <c r="AS22" s="74">
        <f t="shared" si="12"/>
        <v>3.0000000000000249E-2</v>
      </c>
      <c r="AT22" s="74">
        <f t="shared" si="12"/>
        <v>3.0000000000000249E-2</v>
      </c>
      <c r="AU22" s="74">
        <f t="shared" si="12"/>
        <v>3.0000000000000249E-2</v>
      </c>
    </row>
    <row r="23" spans="1:47" x14ac:dyDescent="0.3">
      <c r="B23" s="25"/>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row>
    <row r="24" spans="1:47" x14ac:dyDescent="0.3">
      <c r="A24" s="34" t="s">
        <v>530</v>
      </c>
      <c r="B24" s="29"/>
      <c r="E24" s="69">
        <f>(1+C24)*(1+E20)-1</f>
        <v>0</v>
      </c>
      <c r="F24" s="69">
        <f t="shared" ref="F24:AU24" ca="1" si="13">(1+E24)*(1+F20)-1</f>
        <v>0.13137216304027288</v>
      </c>
      <c r="G24" s="69">
        <f t="shared" ca="1" si="13"/>
        <v>0.27387916363440001</v>
      </c>
      <c r="H24" s="69">
        <f t="shared" ca="1" si="13"/>
        <v>0.43313300375218944</v>
      </c>
      <c r="I24" s="69">
        <f t="shared" ca="1" si="13"/>
        <v>0.6066936810129584</v>
      </c>
      <c r="J24" s="69">
        <f t="shared" ca="1" si="13"/>
        <v>0.80168370089976393</v>
      </c>
      <c r="K24" s="69">
        <f t="shared" ca="1" si="13"/>
        <v>1.0203379128505392</v>
      </c>
      <c r="L24" s="69">
        <f t="shared" ca="1" si="13"/>
        <v>1.2643381336875517</v>
      </c>
      <c r="M24" s="69">
        <f t="shared" ca="1" si="13"/>
        <v>1.5378067456238087</v>
      </c>
      <c r="N24" s="69">
        <f ca="1">(1+M24)*(1+N20)-1</f>
        <v>1.8443027047577885</v>
      </c>
      <c r="O24" s="69">
        <f t="shared" ca="1" si="13"/>
        <v>2.2028630123762336</v>
      </c>
      <c r="P24" s="69">
        <f t="shared" ca="1" si="13"/>
        <v>2.6066243789341432</v>
      </c>
      <c r="Q24" s="69">
        <f t="shared" ca="1" si="13"/>
        <v>3.0612849692474144</v>
      </c>
      <c r="R24" s="69">
        <f t="shared" ca="1" si="13"/>
        <v>3.5732612738311866</v>
      </c>
      <c r="S24" s="69">
        <f t="shared" ca="1" si="13"/>
        <v>4.1497786629337901</v>
      </c>
      <c r="T24" s="69">
        <f t="shared" ca="1" si="13"/>
        <v>4.7989733560512686</v>
      </c>
      <c r="U24" s="69">
        <f t="shared" ca="1" si="13"/>
        <v>5.5300072459880907</v>
      </c>
      <c r="V24" s="69">
        <f t="shared" ca="1" si="13"/>
        <v>6.3531971979420803</v>
      </c>
      <c r="W24" s="69">
        <f t="shared" ca="1" si="13"/>
        <v>7.2801606483733252</v>
      </c>
      <c r="X24" s="69">
        <f t="shared" ca="1" si="13"/>
        <v>8.3239795584508691</v>
      </c>
      <c r="Y24" s="69">
        <f t="shared" ca="1" si="13"/>
        <v>9.4475709700629142</v>
      </c>
      <c r="Z24" s="69">
        <f t="shared" ca="1" si="13"/>
        <v>10.706561397978476</v>
      </c>
      <c r="AA24" s="69">
        <f t="shared" ca="1" si="13"/>
        <v>12.117267176967022</v>
      </c>
      <c r="AB24" s="69">
        <f t="shared" ca="1" si="13"/>
        <v>13.697970850915171</v>
      </c>
      <c r="AC24" s="69">
        <f t="shared" ca="1" si="13"/>
        <v>15.469158111964493</v>
      </c>
      <c r="AD24" s="69">
        <f t="shared" ca="1" si="13"/>
        <v>17.453783292133657</v>
      </c>
      <c r="AE24" s="69">
        <f t="shared" ca="1" si="13"/>
        <v>19.677566848158115</v>
      </c>
      <c r="AF24" s="69">
        <f t="shared" ca="1" si="13"/>
        <v>22.169328694908074</v>
      </c>
      <c r="AG24" s="69">
        <f t="shared" ca="1" si="13"/>
        <v>24.961361707337851</v>
      </c>
      <c r="AH24" s="69">
        <f t="shared" ca="1" si="13"/>
        <v>28.089850231498136</v>
      </c>
      <c r="AI24" s="69">
        <f t="shared" ca="1" si="13"/>
        <v>31.595339028453672</v>
      </c>
      <c r="AJ24" s="69">
        <f t="shared" ca="1" si="13"/>
        <v>35.523258728552022</v>
      </c>
      <c r="AK24" s="69">
        <f t="shared" ca="1" si="13"/>
        <v>39.924514605855109</v>
      </c>
      <c r="AL24" s="69">
        <f t="shared" ca="1" si="13"/>
        <v>44.856146303165502</v>
      </c>
      <c r="AM24" s="69">
        <f t="shared" ca="1" si="13"/>
        <v>50.382067057588799</v>
      </c>
      <c r="AN24" s="69">
        <f t="shared" ca="1" si="13"/>
        <v>56.573892006888975</v>
      </c>
      <c r="AO24" s="69">
        <f t="shared" ca="1" si="13"/>
        <v>63.511866311367996</v>
      </c>
      <c r="AP24" s="69">
        <f t="shared" ca="1" si="13"/>
        <v>71.285905119595554</v>
      </c>
      <c r="AQ24" s="69">
        <f t="shared" ca="1" si="13"/>
        <v>79.996758855795179</v>
      </c>
      <c r="AR24" s="69">
        <f t="shared" ca="1" si="13"/>
        <v>89.757318930843624</v>
      </c>
      <c r="AS24" s="69">
        <f t="shared" ca="1" si="13"/>
        <v>100.69408079871002</v>
      </c>
      <c r="AT24" s="69">
        <f t="shared" ca="1" si="13"/>
        <v>112.94878331933589</v>
      </c>
      <c r="AU24" s="69">
        <f t="shared" ca="1" si="13"/>
        <v>126.68024567386291</v>
      </c>
    </row>
    <row r="25" spans="1:47" x14ac:dyDescent="0.3">
      <c r="A25" s="34" t="s">
        <v>19</v>
      </c>
      <c r="B25" s="25"/>
      <c r="E25" s="48">
        <f t="shared" ref="E25:AU25" ca="1" si="14">E5/(1+E24)</f>
        <v>953.68857328090678</v>
      </c>
      <c r="F25" s="48">
        <f t="shared" ca="1" si="14"/>
        <v>4763.8296466590991</v>
      </c>
      <c r="G25" s="48">
        <f t="shared" ca="1" si="14"/>
        <v>4298.0588856771346</v>
      </c>
      <c r="H25" s="48">
        <f t="shared" ca="1" si="14"/>
        <v>5614.5948316792783</v>
      </c>
      <c r="I25" s="48">
        <f t="shared" ca="1" si="14"/>
        <v>5113.0531304663164</v>
      </c>
      <c r="J25" s="48">
        <f t="shared" ca="1" si="14"/>
        <v>4775.8029712794032</v>
      </c>
      <c r="K25" s="48">
        <f t="shared" ca="1" si="14"/>
        <v>4790.2945668405582</v>
      </c>
      <c r="L25" s="48">
        <f t="shared" ca="1" si="14"/>
        <v>3847.7528737845046</v>
      </c>
      <c r="M25" s="48">
        <f t="shared" ca="1" si="14"/>
        <v>2925.2952693161778</v>
      </c>
      <c r="N25" s="48">
        <f t="shared" ca="1" si="14"/>
        <v>2255.7820043955094</v>
      </c>
      <c r="O25" s="48">
        <f t="shared" ca="1" si="14"/>
        <v>1782.3717772112441</v>
      </c>
      <c r="P25" s="48">
        <f t="shared" ca="1" si="14"/>
        <v>1400.7530314234455</v>
      </c>
      <c r="Q25" s="48">
        <f t="shared" ca="1" si="14"/>
        <v>1084.0291213108985</v>
      </c>
      <c r="R25" s="48">
        <f t="shared" ca="1" si="14"/>
        <v>848.98047266398805</v>
      </c>
      <c r="S25" s="48">
        <f t="shared" ca="1" si="14"/>
        <v>662.25339168435232</v>
      </c>
      <c r="T25" s="48">
        <f t="shared" ca="1" si="14"/>
        <v>528.62277030006703</v>
      </c>
      <c r="U25" s="48">
        <f t="shared" ca="1" si="14"/>
        <v>320.01138815748641</v>
      </c>
      <c r="V25" s="48">
        <f t="shared" ca="1" si="14"/>
        <v>311.97196010296955</v>
      </c>
      <c r="W25" s="48">
        <f t="shared" ca="1" si="14"/>
        <v>249.97674013450339</v>
      </c>
      <c r="X25" s="48">
        <f t="shared" ca="1" si="14"/>
        <v>201.25795200762147</v>
      </c>
      <c r="Y25" s="48">
        <f t="shared" ca="1" si="14"/>
        <v>161.43309068604557</v>
      </c>
      <c r="Z25" s="48">
        <f t="shared" ca="1" si="14"/>
        <v>132.43907178215082</v>
      </c>
      <c r="AA25" s="48">
        <f t="shared" ca="1" si="14"/>
        <v>106.63402333904203</v>
      </c>
      <c r="AB25" s="48">
        <f t="shared" ca="1" si="14"/>
        <v>89.680163433460834</v>
      </c>
      <c r="AC25" s="48">
        <f t="shared" ca="1" si="14"/>
        <v>76.042482906640501</v>
      </c>
      <c r="AD25" s="48">
        <f t="shared" ca="1" si="14"/>
        <v>65.764401031339887</v>
      </c>
      <c r="AE25" s="48">
        <f t="shared" ca="1" si="14"/>
        <v>67.960782975889728</v>
      </c>
      <c r="AF25" s="48">
        <f t="shared" ca="1" si="14"/>
        <v>54.470739845199958</v>
      </c>
      <c r="AG25" s="48">
        <f t="shared" ca="1" si="14"/>
        <v>42.276367896602224</v>
      </c>
      <c r="AH25" s="48">
        <f t="shared" ca="1" si="14"/>
        <v>-373.65696138077624</v>
      </c>
      <c r="AI25" s="48">
        <f t="shared" ca="1" si="14"/>
        <v>0</v>
      </c>
      <c r="AJ25" s="48">
        <f t="shared" ca="1" si="14"/>
        <v>0</v>
      </c>
      <c r="AK25" s="48">
        <f t="shared" ca="1" si="14"/>
        <v>0</v>
      </c>
      <c r="AL25" s="48">
        <f t="shared" ca="1" si="14"/>
        <v>0</v>
      </c>
      <c r="AM25" s="48">
        <f t="shared" ca="1" si="14"/>
        <v>0</v>
      </c>
      <c r="AN25" s="48">
        <f t="shared" ca="1" si="14"/>
        <v>0</v>
      </c>
      <c r="AO25" s="48">
        <f t="shared" ca="1" si="14"/>
        <v>0</v>
      </c>
      <c r="AP25" s="48">
        <f t="shared" ca="1" si="14"/>
        <v>0</v>
      </c>
      <c r="AQ25" s="48">
        <f t="shared" ca="1" si="14"/>
        <v>0</v>
      </c>
      <c r="AR25" s="48">
        <f t="shared" ca="1" si="14"/>
        <v>0</v>
      </c>
      <c r="AS25" s="48">
        <f t="shared" ca="1" si="14"/>
        <v>0</v>
      </c>
      <c r="AT25" s="48">
        <f t="shared" ca="1" si="14"/>
        <v>0</v>
      </c>
      <c r="AU25" s="48">
        <f t="shared" ca="1" si="14"/>
        <v>0</v>
      </c>
    </row>
    <row r="26" spans="1:47" x14ac:dyDescent="0.3">
      <c r="B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row>
    <row r="27" spans="1:47" x14ac:dyDescent="0.3">
      <c r="A27" s="34" t="s">
        <v>21</v>
      </c>
      <c r="B27" s="61">
        <f ca="1">SUM(E25:AU25,C25)</f>
        <v>47151.425520891069</v>
      </c>
      <c r="E27" s="23"/>
      <c r="F27" s="23"/>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row>
    <row r="28" spans="1:47" x14ac:dyDescent="0.3">
      <c r="A28" t="s">
        <v>710</v>
      </c>
      <c r="B28" s="55">
        <v>847012709</v>
      </c>
      <c r="C28" s="24"/>
      <c r="D28" s="24"/>
      <c r="E28" s="24"/>
      <c r="F28" s="24"/>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row>
    <row r="29" spans="1:47" x14ac:dyDescent="0.3">
      <c r="A29" s="34" t="s">
        <v>23</v>
      </c>
      <c r="B29" s="61">
        <f ca="1">B27*10^6/B28</f>
        <v>55.667907954485095</v>
      </c>
      <c r="C29" s="28"/>
      <c r="D29" s="28"/>
      <c r="E29" s="28"/>
      <c r="F29" s="28"/>
      <c r="G29" s="25"/>
      <c r="H29" s="30"/>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row>
    <row r="30" spans="1:47" x14ac:dyDescent="0.3">
      <c r="A30" s="34" t="s">
        <v>1192</v>
      </c>
      <c r="B30" s="60">
        <v>47.8</v>
      </c>
      <c r="C30" s="26"/>
      <c r="D30" s="26"/>
      <c r="E30" s="26"/>
      <c r="F30" s="26"/>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row>
    <row r="31" spans="1:47" x14ac:dyDescent="0.3">
      <c r="A31" s="220" t="s">
        <v>75</v>
      </c>
      <c r="B31" s="217">
        <f ca="1">B29/B30-1</f>
        <v>0.1646005848218639</v>
      </c>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row>
    <row r="32" spans="1:47" x14ac:dyDescent="0.3">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row>
    <row r="33" spans="1:47" x14ac:dyDescent="0.3">
      <c r="A33" s="34" t="s">
        <v>712</v>
      </c>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row>
    <row r="34" spans="1:47" x14ac:dyDescent="0.3">
      <c r="A34" s="43" t="s">
        <v>711</v>
      </c>
      <c r="B34" s="132" t="s">
        <v>1186</v>
      </c>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row>
    <row r="35" spans="1:47" x14ac:dyDescent="0.3">
      <c r="A35" s="43" t="s">
        <v>604</v>
      </c>
      <c r="B35" s="131">
        <v>0</v>
      </c>
    </row>
    <row r="37" spans="1:47" s="45" customFormat="1" x14ac:dyDescent="0.3">
      <c r="A37" s="45" t="s">
        <v>602</v>
      </c>
    </row>
    <row r="39" spans="1:47" x14ac:dyDescent="0.3">
      <c r="A39" t="s">
        <v>677</v>
      </c>
      <c r="B39" s="28">
        <v>46.257329510128898</v>
      </c>
    </row>
    <row r="41" spans="1:47" ht="42.6" customHeight="1" x14ac:dyDescent="0.3">
      <c r="A41" t="s">
        <v>713</v>
      </c>
      <c r="B41" s="158">
        <f ca="1">B29</f>
        <v>55.667907954485095</v>
      </c>
      <c r="C41" s="159" t="s">
        <v>554</v>
      </c>
      <c r="D41" s="159" t="s">
        <v>594</v>
      </c>
      <c r="E41" s="159" t="s">
        <v>555</v>
      </c>
      <c r="F41" s="159" t="s">
        <v>678</v>
      </c>
    </row>
    <row r="42" spans="1:47" x14ac:dyDescent="0.3">
      <c r="A42" t="s">
        <v>714</v>
      </c>
      <c r="B42" s="160">
        <v>0</v>
      </c>
      <c r="C42" s="161">
        <v>42.724434860805907</v>
      </c>
      <c r="D42" s="161">
        <v>55.667907954485095</v>
      </c>
      <c r="E42" s="161">
        <v>65.635519161636054</v>
      </c>
      <c r="F42" s="162">
        <f t="shared" ref="F42:F60" si="15">E42-C42</f>
        <v>22.911084300830147</v>
      </c>
      <c r="J42" s="76"/>
    </row>
    <row r="43" spans="1:47" x14ac:dyDescent="0.3">
      <c r="B43" s="163">
        <v>5.0000000000000001E-3</v>
      </c>
      <c r="C43" s="164">
        <v>42.316797707635786</v>
      </c>
      <c r="D43" s="164">
        <v>55.145065354080693</v>
      </c>
      <c r="E43" s="164">
        <v>65.019223608624827</v>
      </c>
      <c r="F43" s="165">
        <f t="shared" si="15"/>
        <v>22.702425900989041</v>
      </c>
      <c r="J43" s="76"/>
    </row>
    <row r="44" spans="1:47" x14ac:dyDescent="0.3">
      <c r="B44" s="160">
        <v>0.01</v>
      </c>
      <c r="C44" s="161">
        <v>41.909160554465672</v>
      </c>
      <c r="D44" s="161">
        <v>54.622222753676319</v>
      </c>
      <c r="E44" s="161">
        <v>64.402928055613543</v>
      </c>
      <c r="F44" s="162">
        <f t="shared" si="15"/>
        <v>22.493767501147872</v>
      </c>
      <c r="J44" s="76"/>
    </row>
    <row r="45" spans="1:47" x14ac:dyDescent="0.3">
      <c r="B45" s="163">
        <v>1.4999999999999999E-2</v>
      </c>
      <c r="C45" s="164">
        <v>41.50152340129555</v>
      </c>
      <c r="D45" s="164">
        <v>54.099380153271909</v>
      </c>
      <c r="E45" s="164">
        <v>63.786632502602302</v>
      </c>
      <c r="F45" s="165">
        <f t="shared" si="15"/>
        <v>22.285109101306752</v>
      </c>
      <c r="J45" s="76"/>
    </row>
    <row r="46" spans="1:47" x14ac:dyDescent="0.3">
      <c r="B46" s="160">
        <v>0.02</v>
      </c>
      <c r="C46" s="161">
        <v>41.093886248125443</v>
      </c>
      <c r="D46" s="161">
        <v>53.576537552867535</v>
      </c>
      <c r="E46" s="161">
        <v>63.170336949591025</v>
      </c>
      <c r="F46" s="162">
        <f t="shared" si="15"/>
        <v>22.076450701465582</v>
      </c>
      <c r="J46" s="76"/>
    </row>
    <row r="47" spans="1:47" x14ac:dyDescent="0.3">
      <c r="B47" s="163">
        <v>2.5000000000000001E-2</v>
      </c>
      <c r="C47" s="164">
        <v>40.686249094955322</v>
      </c>
      <c r="D47" s="164">
        <v>53.053694952463154</v>
      </c>
      <c r="E47" s="164">
        <v>62.554041396579755</v>
      </c>
      <c r="F47" s="165">
        <f t="shared" si="15"/>
        <v>21.867792301624434</v>
      </c>
      <c r="J47" s="76"/>
    </row>
    <row r="48" spans="1:47" x14ac:dyDescent="0.3">
      <c r="B48" s="160">
        <v>0.03</v>
      </c>
      <c r="C48" s="161">
        <v>40.278611941785215</v>
      </c>
      <c r="D48" s="161">
        <v>52.530852352058737</v>
      </c>
      <c r="E48" s="161">
        <v>61.937745843568507</v>
      </c>
      <c r="F48" s="162">
        <f t="shared" si="15"/>
        <v>21.659133901783292</v>
      </c>
      <c r="J48" s="76"/>
    </row>
    <row r="49" spans="1:10" x14ac:dyDescent="0.3">
      <c r="B49" s="163">
        <v>4.4999999999999998E-2</v>
      </c>
      <c r="C49" s="164">
        <v>39.055700482274844</v>
      </c>
      <c r="D49" s="164">
        <v>50.962324550845601</v>
      </c>
      <c r="E49" s="164">
        <v>60.088859184534726</v>
      </c>
      <c r="F49" s="165">
        <f t="shared" si="15"/>
        <v>21.033158702259882</v>
      </c>
      <c r="J49" s="76"/>
    </row>
    <row r="50" spans="1:10" x14ac:dyDescent="0.3">
      <c r="B50" s="160">
        <v>0.05</v>
      </c>
      <c r="C50" s="161">
        <v>38.648063329104723</v>
      </c>
      <c r="D50" s="161">
        <v>50.439481950441198</v>
      </c>
      <c r="E50" s="161">
        <v>59.472563631523457</v>
      </c>
      <c r="F50" s="162">
        <f t="shared" si="15"/>
        <v>20.824500302418734</v>
      </c>
      <c r="J50" s="76"/>
    </row>
    <row r="51" spans="1:10" x14ac:dyDescent="0.3">
      <c r="B51" s="163">
        <v>5.5E-2</v>
      </c>
      <c r="C51" s="164">
        <v>38.240426175934601</v>
      </c>
      <c r="D51" s="164">
        <v>49.916639350036796</v>
      </c>
      <c r="E51" s="164">
        <v>58.856268078512201</v>
      </c>
      <c r="F51" s="165">
        <f t="shared" si="15"/>
        <v>20.6158419025776</v>
      </c>
      <c r="J51" s="76"/>
    </row>
    <row r="52" spans="1:10" x14ac:dyDescent="0.3">
      <c r="B52" s="160">
        <v>0.06</v>
      </c>
      <c r="C52" s="161">
        <v>37.832789022764487</v>
      </c>
      <c r="D52" s="161">
        <v>49.393796749632415</v>
      </c>
      <c r="E52" s="161">
        <v>58.23997252550091</v>
      </c>
      <c r="F52" s="162">
        <f t="shared" si="15"/>
        <v>20.407183502736423</v>
      </c>
      <c r="J52" s="76"/>
    </row>
    <row r="53" spans="1:10" x14ac:dyDescent="0.3">
      <c r="B53" s="163">
        <v>6.5000000000000002E-2</v>
      </c>
      <c r="C53" s="164">
        <v>37.425151869594373</v>
      </c>
      <c r="D53" s="164">
        <v>48.870954149228012</v>
      </c>
      <c r="E53" s="164">
        <v>57.623676972489676</v>
      </c>
      <c r="F53" s="165">
        <f t="shared" si="15"/>
        <v>20.198525102895303</v>
      </c>
      <c r="J53" s="76"/>
    </row>
    <row r="54" spans="1:10" x14ac:dyDescent="0.3">
      <c r="B54" s="160">
        <v>7.0000000000000007E-2</v>
      </c>
      <c r="C54" s="161">
        <v>37.017514716424259</v>
      </c>
      <c r="D54" s="161">
        <v>48.348111548823638</v>
      </c>
      <c r="E54" s="161">
        <v>57.007381419478406</v>
      </c>
      <c r="F54" s="162">
        <f t="shared" si="15"/>
        <v>19.989866703054147</v>
      </c>
      <c r="J54" s="76"/>
    </row>
    <row r="55" spans="1:10" x14ac:dyDescent="0.3">
      <c r="B55" s="163">
        <v>7.4999999999999997E-2</v>
      </c>
      <c r="C55" s="164">
        <v>36.60987756325413</v>
      </c>
      <c r="D55" s="164">
        <v>47.825268948419257</v>
      </c>
      <c r="E55" s="164">
        <v>56.391085866467137</v>
      </c>
      <c r="F55" s="165">
        <f t="shared" si="15"/>
        <v>19.781208303213006</v>
      </c>
      <c r="J55" s="76"/>
    </row>
    <row r="56" spans="1:10" x14ac:dyDescent="0.3">
      <c r="B56" s="160">
        <v>0.08</v>
      </c>
      <c r="C56" s="161">
        <v>36.202240410084016</v>
      </c>
      <c r="D56" s="161">
        <v>47.302426348014855</v>
      </c>
      <c r="E56" s="161">
        <v>55.774790313455888</v>
      </c>
      <c r="F56" s="162">
        <f t="shared" si="15"/>
        <v>19.572549903371872</v>
      </c>
      <c r="J56" s="76"/>
    </row>
    <row r="57" spans="1:10" x14ac:dyDescent="0.3">
      <c r="B57" s="163">
        <v>8.5000000000000006E-2</v>
      </c>
      <c r="C57" s="164">
        <v>35.794603256913909</v>
      </c>
      <c r="D57" s="164">
        <v>46.779583747610474</v>
      </c>
      <c r="E57" s="164">
        <v>55.158494760444619</v>
      </c>
      <c r="F57" s="165">
        <f t="shared" si="15"/>
        <v>19.363891503530709</v>
      </c>
      <c r="J57" s="76"/>
    </row>
    <row r="58" spans="1:10" x14ac:dyDescent="0.3">
      <c r="B58" s="160">
        <v>0.09</v>
      </c>
      <c r="C58" s="161">
        <v>35.386966103743788</v>
      </c>
      <c r="D58" s="161">
        <v>46.2567411472061</v>
      </c>
      <c r="E58" s="161">
        <v>54.54219920743337</v>
      </c>
      <c r="F58" s="162">
        <f t="shared" si="15"/>
        <v>19.155233103689582</v>
      </c>
      <c r="J58" s="76"/>
    </row>
    <row r="59" spans="1:10" x14ac:dyDescent="0.3">
      <c r="B59" s="163">
        <v>9.5000000000000001E-2</v>
      </c>
      <c r="C59" s="164">
        <v>34.979328950573674</v>
      </c>
      <c r="D59" s="164">
        <v>45.73389854680169</v>
      </c>
      <c r="E59" s="164">
        <v>53.925903654422108</v>
      </c>
      <c r="F59" s="165">
        <f t="shared" si="15"/>
        <v>18.946574703848434</v>
      </c>
      <c r="J59" s="76"/>
    </row>
    <row r="60" spans="1:10" x14ac:dyDescent="0.3">
      <c r="B60" s="160">
        <v>0.1</v>
      </c>
      <c r="C60" s="161">
        <v>34.571691797403538</v>
      </c>
      <c r="D60" s="161">
        <v>45.211055946397295</v>
      </c>
      <c r="E60" s="161">
        <v>53.309608101410845</v>
      </c>
      <c r="F60" s="162">
        <f t="shared" si="15"/>
        <v>18.737916304007307</v>
      </c>
      <c r="J60" s="76"/>
    </row>
    <row r="61" spans="1:10" ht="27" customHeight="1" x14ac:dyDescent="0.3">
      <c r="B61" s="163" t="s">
        <v>678</v>
      </c>
      <c r="C61" s="165">
        <f>C42-C60</f>
        <v>8.1527430634023688</v>
      </c>
      <c r="D61" s="165">
        <f>D42-D60</f>
        <v>10.4568520080878</v>
      </c>
      <c r="E61" s="165">
        <f>E42-E60</f>
        <v>12.325911060225209</v>
      </c>
      <c r="F61" s="165"/>
    </row>
    <row r="63" spans="1:10" s="45" customFormat="1" x14ac:dyDescent="0.3">
      <c r="A63" s="45" t="s">
        <v>612</v>
      </c>
    </row>
    <row r="65" spans="1:47" x14ac:dyDescent="0.3">
      <c r="A65" s="34" t="s">
        <v>605</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row>
    <row r="66" spans="1:47" x14ac:dyDescent="0.3">
      <c r="A66" s="219" t="s">
        <v>606</v>
      </c>
      <c r="B66" s="25"/>
      <c r="C66" s="31">
        <v>0.01</v>
      </c>
      <c r="D66" s="25"/>
      <c r="E66" s="74">
        <f>C66</f>
        <v>0.01</v>
      </c>
      <c r="F66" s="74">
        <f>E66</f>
        <v>0.01</v>
      </c>
      <c r="G66" s="74">
        <f t="shared" ref="G66:AJ66" si="16">F66</f>
        <v>0.01</v>
      </c>
      <c r="H66" s="74">
        <f t="shared" si="16"/>
        <v>0.01</v>
      </c>
      <c r="I66" s="74">
        <f t="shared" si="16"/>
        <v>0.01</v>
      </c>
      <c r="J66" s="74">
        <f t="shared" si="16"/>
        <v>0.01</v>
      </c>
      <c r="K66" s="74">
        <f t="shared" si="16"/>
        <v>0.01</v>
      </c>
      <c r="L66" s="74">
        <f t="shared" si="16"/>
        <v>0.01</v>
      </c>
      <c r="M66" s="74">
        <f t="shared" si="16"/>
        <v>0.01</v>
      </c>
      <c r="N66" s="74">
        <f t="shared" si="16"/>
        <v>0.01</v>
      </c>
      <c r="O66" s="74">
        <f t="shared" si="16"/>
        <v>0.01</v>
      </c>
      <c r="P66" s="74">
        <f t="shared" si="16"/>
        <v>0.01</v>
      </c>
      <c r="Q66" s="74">
        <f t="shared" si="16"/>
        <v>0.01</v>
      </c>
      <c r="R66" s="74">
        <f t="shared" si="16"/>
        <v>0.01</v>
      </c>
      <c r="S66" s="74">
        <f t="shared" si="16"/>
        <v>0.01</v>
      </c>
      <c r="T66" s="74">
        <f t="shared" si="16"/>
        <v>0.01</v>
      </c>
      <c r="U66" s="74">
        <f t="shared" si="16"/>
        <v>0.01</v>
      </c>
      <c r="V66" s="74">
        <f t="shared" si="16"/>
        <v>0.01</v>
      </c>
      <c r="W66" s="74">
        <f t="shared" si="16"/>
        <v>0.01</v>
      </c>
      <c r="X66" s="74">
        <f t="shared" si="16"/>
        <v>0.01</v>
      </c>
      <c r="Y66" s="74">
        <f t="shared" si="16"/>
        <v>0.01</v>
      </c>
      <c r="Z66" s="74">
        <f t="shared" si="16"/>
        <v>0.01</v>
      </c>
      <c r="AA66" s="74">
        <f t="shared" si="16"/>
        <v>0.01</v>
      </c>
      <c r="AB66" s="74">
        <f t="shared" si="16"/>
        <v>0.01</v>
      </c>
      <c r="AC66" s="74">
        <f t="shared" si="16"/>
        <v>0.01</v>
      </c>
      <c r="AD66" s="74">
        <f t="shared" si="16"/>
        <v>0.01</v>
      </c>
      <c r="AE66" s="74">
        <f t="shared" si="16"/>
        <v>0.01</v>
      </c>
      <c r="AF66" s="74">
        <f t="shared" si="16"/>
        <v>0.01</v>
      </c>
      <c r="AG66" s="74">
        <f t="shared" si="16"/>
        <v>0.01</v>
      </c>
      <c r="AH66" s="74">
        <f t="shared" si="16"/>
        <v>0.01</v>
      </c>
      <c r="AI66" s="74">
        <f t="shared" si="16"/>
        <v>0.01</v>
      </c>
      <c r="AJ66" s="74">
        <f t="shared" si="16"/>
        <v>0.01</v>
      </c>
      <c r="AK66" s="74">
        <f t="shared" ref="AK66:AU66" si="17">AJ66</f>
        <v>0.01</v>
      </c>
      <c r="AL66" s="74">
        <f t="shared" si="17"/>
        <v>0.01</v>
      </c>
      <c r="AM66" s="74">
        <f t="shared" si="17"/>
        <v>0.01</v>
      </c>
      <c r="AN66" s="74">
        <f t="shared" si="17"/>
        <v>0.01</v>
      </c>
      <c r="AO66" s="74">
        <f t="shared" si="17"/>
        <v>0.01</v>
      </c>
      <c r="AP66" s="74">
        <f t="shared" si="17"/>
        <v>0.01</v>
      </c>
      <c r="AQ66" s="74">
        <f t="shared" si="17"/>
        <v>0.01</v>
      </c>
      <c r="AR66" s="74">
        <f t="shared" si="17"/>
        <v>0.01</v>
      </c>
      <c r="AS66" s="74">
        <f t="shared" si="17"/>
        <v>0.01</v>
      </c>
      <c r="AT66" s="74">
        <f t="shared" si="17"/>
        <v>0.01</v>
      </c>
      <c r="AU66" s="74">
        <f t="shared" si="17"/>
        <v>0.01</v>
      </c>
    </row>
    <row r="67" spans="1:47" x14ac:dyDescent="0.3">
      <c r="A67" s="219" t="s">
        <v>608</v>
      </c>
      <c r="B67" s="25"/>
      <c r="C67" s="74">
        <f>C66+C20</f>
        <v>0.01</v>
      </c>
      <c r="D67" s="25"/>
      <c r="E67" s="74">
        <f t="shared" ref="E67:AU67" si="18">E66+E20</f>
        <v>0.01</v>
      </c>
      <c r="F67" s="74">
        <f t="shared" ca="1" si="18"/>
        <v>0.14137216304027289</v>
      </c>
      <c r="G67" s="74">
        <f t="shared" ca="1" si="18"/>
        <v>0.13595943691170209</v>
      </c>
      <c r="H67" s="74">
        <f t="shared" ca="1" si="18"/>
        <v>0.13501487163306392</v>
      </c>
      <c r="I67" s="74">
        <f t="shared" ca="1" si="18"/>
        <v>0.13110577092730202</v>
      </c>
      <c r="J67" s="74">
        <f t="shared" ca="1" si="18"/>
        <v>0.13136104236363955</v>
      </c>
      <c r="K67" s="74">
        <f t="shared" ca="1" si="18"/>
        <v>0.13136104236363955</v>
      </c>
      <c r="L67" s="74">
        <f t="shared" ca="1" si="18"/>
        <v>0.1307719853619671</v>
      </c>
      <c r="M67" s="74">
        <f t="shared" ca="1" si="18"/>
        <v>0.1307719853619671</v>
      </c>
      <c r="N67" s="74">
        <f t="shared" ca="1" si="18"/>
        <v>0.1307719853619671</v>
      </c>
      <c r="O67" s="74">
        <f t="shared" ca="1" si="18"/>
        <v>0.13606263989366041</v>
      </c>
      <c r="P67" s="74">
        <f t="shared" ca="1" si="18"/>
        <v>0.13606263989366041</v>
      </c>
      <c r="Q67" s="74">
        <f t="shared" ca="1" si="18"/>
        <v>0.13606263989366041</v>
      </c>
      <c r="R67" s="74">
        <f t="shared" ca="1" si="18"/>
        <v>0.13606263989366041</v>
      </c>
      <c r="S67" s="74">
        <f t="shared" ca="1" si="18"/>
        <v>0.13606263989366041</v>
      </c>
      <c r="T67" s="74">
        <f t="shared" ca="1" si="18"/>
        <v>0.13606263989366041</v>
      </c>
      <c r="U67" s="74">
        <f t="shared" ca="1" si="18"/>
        <v>0.13606263989366041</v>
      </c>
      <c r="V67" s="74">
        <f t="shared" ca="1" si="18"/>
        <v>0.13606263989366041</v>
      </c>
      <c r="W67" s="74">
        <f t="shared" ca="1" si="18"/>
        <v>0.13606263989366041</v>
      </c>
      <c r="X67" s="74">
        <f t="shared" ca="1" si="18"/>
        <v>0.13606263989366041</v>
      </c>
      <c r="Y67" s="74">
        <f t="shared" ca="1" si="18"/>
        <v>0.13050556359206822</v>
      </c>
      <c r="Z67" s="74">
        <f t="shared" ca="1" si="18"/>
        <v>0.13050556359206822</v>
      </c>
      <c r="AA67" s="74">
        <f t="shared" ca="1" si="18"/>
        <v>0.13050556359206822</v>
      </c>
      <c r="AB67" s="74">
        <f t="shared" ca="1" si="18"/>
        <v>0.13050556359206822</v>
      </c>
      <c r="AC67" s="74">
        <f t="shared" ca="1" si="18"/>
        <v>0.13050556359206822</v>
      </c>
      <c r="AD67" s="74">
        <f t="shared" ca="1" si="18"/>
        <v>0.13050556359206822</v>
      </c>
      <c r="AE67" s="74">
        <f t="shared" ca="1" si="18"/>
        <v>0.13050556359206822</v>
      </c>
      <c r="AF67" s="74">
        <f t="shared" ca="1" si="18"/>
        <v>0.13050556359206822</v>
      </c>
      <c r="AG67" s="74">
        <f t="shared" ca="1" si="18"/>
        <v>0.13050556359206822</v>
      </c>
      <c r="AH67" s="74">
        <f t="shared" ca="1" si="18"/>
        <v>0.13050556359206822</v>
      </c>
      <c r="AI67" s="74">
        <f t="shared" ca="1" si="18"/>
        <v>0.13050556359206822</v>
      </c>
      <c r="AJ67" s="74">
        <f t="shared" ca="1" si="18"/>
        <v>0.13050556359206822</v>
      </c>
      <c r="AK67" s="74">
        <f t="shared" ca="1" si="18"/>
        <v>0.13050556359206822</v>
      </c>
      <c r="AL67" s="74">
        <f t="shared" ca="1" si="18"/>
        <v>0.13050556359206822</v>
      </c>
      <c r="AM67" s="74">
        <f t="shared" ca="1" si="18"/>
        <v>0.13050556359206822</v>
      </c>
      <c r="AN67" s="74">
        <f t="shared" ca="1" si="18"/>
        <v>0.13050556359206822</v>
      </c>
      <c r="AO67" s="74">
        <f t="shared" ca="1" si="18"/>
        <v>0.13050556359206822</v>
      </c>
      <c r="AP67" s="74">
        <f t="shared" ca="1" si="18"/>
        <v>0.13050556359206822</v>
      </c>
      <c r="AQ67" s="74">
        <f t="shared" ca="1" si="18"/>
        <v>0.13050556359206822</v>
      </c>
      <c r="AR67" s="74">
        <f t="shared" ca="1" si="18"/>
        <v>0.13050556359206822</v>
      </c>
      <c r="AS67" s="74">
        <f t="shared" ca="1" si="18"/>
        <v>0.13050556359206822</v>
      </c>
      <c r="AT67" s="74">
        <f t="shared" ca="1" si="18"/>
        <v>0.13050556359206822</v>
      </c>
      <c r="AU67" s="74">
        <f t="shared" ca="1" si="18"/>
        <v>0.13050556359206822</v>
      </c>
    </row>
    <row r="68" spans="1:47" x14ac:dyDescent="0.3">
      <c r="A68" s="67" t="s">
        <v>609</v>
      </c>
      <c r="B68" s="25"/>
      <c r="C68" s="48">
        <f>C5</f>
        <v>0</v>
      </c>
      <c r="D68" s="90"/>
      <c r="E68" s="48">
        <f ca="1">(C68)*(1+E67)+E5</f>
        <v>953.68857328090678</v>
      </c>
      <c r="F68" s="48">
        <f t="shared" ref="F68:AU68" ca="1" si="19">(E68)*(1+F67)+F5</f>
        <v>6478.1778414485043</v>
      </c>
      <c r="G68" s="48">
        <f t="shared" ca="1" si="19"/>
        <v>12834.154911523499</v>
      </c>
      <c r="H68" s="48">
        <f t="shared" ca="1" si="19"/>
        <v>22613.417845397744</v>
      </c>
      <c r="I68" s="48">
        <f t="shared" ca="1" si="19"/>
        <v>33793.277580723581</v>
      </c>
      <c r="J68" s="48">
        <f t="shared" ca="1" si="19"/>
        <v>46836.884120674003</v>
      </c>
      <c r="K68" s="48">
        <f t="shared" ca="1" si="19"/>
        <v>62667.439766940668</v>
      </c>
      <c r="L68" s="48">
        <f t="shared" ca="1" si="19"/>
        <v>79575.19884393111</v>
      </c>
      <c r="M68" s="48">
        <f t="shared" ca="1" si="19"/>
        <v>97405.239649737297</v>
      </c>
      <c r="N68" s="48">
        <f t="shared" ca="1" si="19"/>
        <v>116559.24307983773</v>
      </c>
      <c r="O68" s="48">
        <f t="shared" ca="1" si="19"/>
        <v>138127.29403682053</v>
      </c>
      <c r="P68" s="48">
        <f t="shared" ca="1" si="19"/>
        <v>161973.24833683588</v>
      </c>
      <c r="Q68" s="48">
        <f t="shared" ca="1" si="19"/>
        <v>188414.30727430366</v>
      </c>
      <c r="R68" s="48">
        <f t="shared" ca="1" si="19"/>
        <v>217933.06483365383</v>
      </c>
      <c r="S68" s="48">
        <f t="shared" ca="1" si="19"/>
        <v>250996.07134098862</v>
      </c>
      <c r="T68" s="48">
        <f t="shared" ca="1" si="19"/>
        <v>288212.72877095314</v>
      </c>
      <c r="U68" s="48">
        <f t="shared" ca="1" si="19"/>
        <v>329517.39018195169</v>
      </c>
      <c r="V68" s="48">
        <f t="shared" ca="1" si="19"/>
        <v>376646.38752384298</v>
      </c>
      <c r="W68" s="48">
        <f t="shared" ca="1" si="19"/>
        <v>429963.73688341805</v>
      </c>
      <c r="X68" s="48">
        <f t="shared" ca="1" si="19"/>
        <v>490342.26301281387</v>
      </c>
      <c r="Y68" s="48">
        <f t="shared" ca="1" si="19"/>
        <v>556021.24007217039</v>
      </c>
      <c r="Z68" s="48">
        <f t="shared" ca="1" si="19"/>
        <v>630135.51150225871</v>
      </c>
      <c r="AA68" s="48">
        <f t="shared" ca="1" si="19"/>
        <v>713770.44854453031</v>
      </c>
      <c r="AB68" s="48">
        <f t="shared" ca="1" si="19"/>
        <v>808239.57963524794</v>
      </c>
      <c r="AC68" s="48">
        <f t="shared" ca="1" si="19"/>
        <v>914971.69716717815</v>
      </c>
      <c r="AD68" s="48">
        <f t="shared" ca="1" si="19"/>
        <v>1035594.1961817412</v>
      </c>
      <c r="AE68" s="48">
        <f t="shared" ca="1" si="19"/>
        <v>1172150.2640401514</v>
      </c>
      <c r="AF68" s="48">
        <f t="shared" ca="1" si="19"/>
        <v>1326384.4453390311</v>
      </c>
      <c r="AG68" s="48">
        <f t="shared" ca="1" si="19"/>
        <v>1500582.5469963902</v>
      </c>
      <c r="AH68" s="48">
        <f t="shared" ca="1" si="19"/>
        <v>1685547.2929640517</v>
      </c>
      <c r="AI68" s="48">
        <f t="shared" ca="1" si="19"/>
        <v>1905520.5923934102</v>
      </c>
      <c r="AJ68" s="48">
        <f t="shared" ca="1" si="19"/>
        <v>2154201.6312400037</v>
      </c>
      <c r="AK68" s="48">
        <f t="shared" ca="1" si="19"/>
        <v>2435336.9292159332</v>
      </c>
      <c r="AL68" s="48">
        <f t="shared" ca="1" si="19"/>
        <v>2753161.9476998355</v>
      </c>
      <c r="AM68" s="48">
        <f t="shared" ca="1" si="19"/>
        <v>3112464.8993446389</v>
      </c>
      <c r="AN68" s="48">
        <f t="shared" ca="1" si="19"/>
        <v>3518658.885194141</v>
      </c>
      <c r="AO68" s="48">
        <f t="shared" ca="1" si="19"/>
        <v>3977863.446094641</v>
      </c>
      <c r="AP68" s="48">
        <f t="shared" ca="1" si="19"/>
        <v>4496996.7570195086</v>
      </c>
      <c r="AQ68" s="48">
        <f t="shared" ca="1" si="19"/>
        <v>5083879.8532660427</v>
      </c>
      <c r="AR68" s="48">
        <f t="shared" ca="1" si="19"/>
        <v>5747354.4587508887</v>
      </c>
      <c r="AS68" s="48">
        <f t="shared" ca="1" si="19"/>
        <v>6497416.1915535601</v>
      </c>
      <c r="AT68" s="48">
        <f t="shared" ca="1" si="19"/>
        <v>7345365.1535244873</v>
      </c>
      <c r="AU68" s="48">
        <f t="shared" ca="1" si="19"/>
        <v>8303976.1726747388</v>
      </c>
    </row>
    <row r="69" spans="1:47" x14ac:dyDescent="0.3">
      <c r="A69" s="67" t="s">
        <v>607</v>
      </c>
      <c r="B69" s="25"/>
      <c r="C69" s="48">
        <f>IF(C1&lt;$B$74,0,C68)</f>
        <v>0</v>
      </c>
      <c r="D69" s="90"/>
      <c r="E69" s="48">
        <f t="shared" ref="E69:AU69" si="20">IF(E1&lt;$B$74,0,E68)</f>
        <v>0</v>
      </c>
      <c r="F69" s="48">
        <f t="shared" si="20"/>
        <v>0</v>
      </c>
      <c r="G69" s="48">
        <f t="shared" si="20"/>
        <v>0</v>
      </c>
      <c r="H69" s="48">
        <f t="shared" si="20"/>
        <v>0</v>
      </c>
      <c r="I69" s="48">
        <f t="shared" si="20"/>
        <v>0</v>
      </c>
      <c r="J69" s="48">
        <f t="shared" si="20"/>
        <v>0</v>
      </c>
      <c r="K69" s="48">
        <f t="shared" ca="1" si="20"/>
        <v>62667.439766940668</v>
      </c>
      <c r="L69" s="48">
        <f t="shared" ca="1" si="20"/>
        <v>79575.19884393111</v>
      </c>
      <c r="M69" s="48">
        <f t="shared" ca="1" si="20"/>
        <v>97405.239649737297</v>
      </c>
      <c r="N69" s="48">
        <f t="shared" ca="1" si="20"/>
        <v>116559.24307983773</v>
      </c>
      <c r="O69" s="48">
        <f t="shared" ca="1" si="20"/>
        <v>138127.29403682053</v>
      </c>
      <c r="P69" s="48">
        <f t="shared" ca="1" si="20"/>
        <v>161973.24833683588</v>
      </c>
      <c r="Q69" s="48">
        <f t="shared" ca="1" si="20"/>
        <v>188414.30727430366</v>
      </c>
      <c r="R69" s="48">
        <f t="shared" ca="1" si="20"/>
        <v>217933.06483365383</v>
      </c>
      <c r="S69" s="48">
        <f t="shared" ca="1" si="20"/>
        <v>250996.07134098862</v>
      </c>
      <c r="T69" s="48">
        <f t="shared" ca="1" si="20"/>
        <v>288212.72877095314</v>
      </c>
      <c r="U69" s="48">
        <f t="shared" ca="1" si="20"/>
        <v>329517.39018195169</v>
      </c>
      <c r="V69" s="48">
        <f t="shared" ca="1" si="20"/>
        <v>376646.38752384298</v>
      </c>
      <c r="W69" s="48">
        <f t="shared" ca="1" si="20"/>
        <v>429963.73688341805</v>
      </c>
      <c r="X69" s="48">
        <f t="shared" ca="1" si="20"/>
        <v>490342.26301281387</v>
      </c>
      <c r="Y69" s="48">
        <f t="shared" ca="1" si="20"/>
        <v>556021.24007217039</v>
      </c>
      <c r="Z69" s="48">
        <f t="shared" ca="1" si="20"/>
        <v>630135.51150225871</v>
      </c>
      <c r="AA69" s="48">
        <f t="shared" ca="1" si="20"/>
        <v>713770.44854453031</v>
      </c>
      <c r="AB69" s="48">
        <f t="shared" ca="1" si="20"/>
        <v>808239.57963524794</v>
      </c>
      <c r="AC69" s="48">
        <f t="shared" ca="1" si="20"/>
        <v>914971.69716717815</v>
      </c>
      <c r="AD69" s="48">
        <f t="shared" ca="1" si="20"/>
        <v>1035594.1961817412</v>
      </c>
      <c r="AE69" s="48">
        <f t="shared" ca="1" si="20"/>
        <v>1172150.2640401514</v>
      </c>
      <c r="AF69" s="48">
        <f t="shared" ca="1" si="20"/>
        <v>1326384.4453390311</v>
      </c>
      <c r="AG69" s="48">
        <f t="shared" ca="1" si="20"/>
        <v>1500582.5469963902</v>
      </c>
      <c r="AH69" s="48">
        <f t="shared" ca="1" si="20"/>
        <v>1685547.2929640517</v>
      </c>
      <c r="AI69" s="48">
        <f t="shared" ca="1" si="20"/>
        <v>1905520.5923934102</v>
      </c>
      <c r="AJ69" s="48">
        <f t="shared" ca="1" si="20"/>
        <v>2154201.6312400037</v>
      </c>
      <c r="AK69" s="48">
        <f t="shared" ca="1" si="20"/>
        <v>2435336.9292159332</v>
      </c>
      <c r="AL69" s="48">
        <f t="shared" ca="1" si="20"/>
        <v>2753161.9476998355</v>
      </c>
      <c r="AM69" s="48">
        <f t="shared" ca="1" si="20"/>
        <v>3112464.8993446389</v>
      </c>
      <c r="AN69" s="48">
        <f t="shared" ca="1" si="20"/>
        <v>3518658.885194141</v>
      </c>
      <c r="AO69" s="48">
        <f t="shared" ca="1" si="20"/>
        <v>3977863.446094641</v>
      </c>
      <c r="AP69" s="48">
        <f t="shared" ca="1" si="20"/>
        <v>4496996.7570195086</v>
      </c>
      <c r="AQ69" s="48">
        <f t="shared" ca="1" si="20"/>
        <v>5083879.8532660427</v>
      </c>
      <c r="AR69" s="48">
        <f t="shared" ca="1" si="20"/>
        <v>5747354.4587508887</v>
      </c>
      <c r="AS69" s="48">
        <f t="shared" ca="1" si="20"/>
        <v>6497416.1915535601</v>
      </c>
      <c r="AT69" s="48">
        <f t="shared" ca="1" si="20"/>
        <v>7345365.1535244873</v>
      </c>
      <c r="AU69" s="48">
        <f t="shared" ca="1" si="20"/>
        <v>8303976.1726747388</v>
      </c>
    </row>
    <row r="70" spans="1:47" x14ac:dyDescent="0.3">
      <c r="A70" s="34"/>
      <c r="B70" s="25"/>
      <c r="C70" s="90"/>
      <c r="D70" s="90"/>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1"/>
      <c r="AK70" s="1"/>
      <c r="AL70" s="1"/>
      <c r="AM70" s="1"/>
      <c r="AN70" s="1"/>
      <c r="AO70" s="1"/>
      <c r="AP70" s="1"/>
      <c r="AQ70" s="1"/>
      <c r="AR70" s="1"/>
      <c r="AS70" s="1"/>
      <c r="AT70" s="1"/>
      <c r="AU70" s="1"/>
    </row>
    <row r="71" spans="1:47" x14ac:dyDescent="0.3">
      <c r="A71" t="s">
        <v>611</v>
      </c>
      <c r="B71" s="25"/>
      <c r="C71" s="90"/>
      <c r="D71" s="90"/>
      <c r="E71" s="48">
        <f t="shared" ref="E71:AU71" si="21">IF(E1&gt;$B$74,E5,E69)</f>
        <v>0</v>
      </c>
      <c r="F71" s="48">
        <f t="shared" si="21"/>
        <v>0</v>
      </c>
      <c r="G71" s="48">
        <f t="shared" si="21"/>
        <v>0</v>
      </c>
      <c r="H71" s="48">
        <f t="shared" si="21"/>
        <v>0</v>
      </c>
      <c r="I71" s="48">
        <f t="shared" si="21"/>
        <v>0</v>
      </c>
      <c r="J71" s="48">
        <f t="shared" si="21"/>
        <v>0</v>
      </c>
      <c r="K71" s="48">
        <f t="shared" ca="1" si="21"/>
        <v>62667.439766940668</v>
      </c>
      <c r="L71" s="48">
        <f t="shared" ca="1" si="21"/>
        <v>8712.6135611161189</v>
      </c>
      <c r="M71" s="48">
        <f t="shared" ca="1" si="21"/>
        <v>7423.8340674120127</v>
      </c>
      <c r="N71" s="48">
        <f t="shared" ca="1" si="21"/>
        <v>6416.1268564460934</v>
      </c>
      <c r="O71" s="48">
        <f t="shared" ca="1" si="21"/>
        <v>5708.6926395331866</v>
      </c>
      <c r="P71" s="48">
        <f t="shared" ca="1" si="21"/>
        <v>5051.9900319977023</v>
      </c>
      <c r="Q71" s="48">
        <f t="shared" ca="1" si="21"/>
        <v>4402.5511766064346</v>
      </c>
      <c r="R71" s="48">
        <f t="shared" ca="1" si="21"/>
        <v>3882.609517873113</v>
      </c>
      <c r="S71" s="48">
        <f t="shared" ca="1" si="21"/>
        <v>3410.4583859516115</v>
      </c>
      <c r="T71" s="48">
        <f t="shared" ca="1" si="21"/>
        <v>3065.4693603720984</v>
      </c>
      <c r="U71" s="48">
        <f t="shared" ca="1" si="21"/>
        <v>2089.6766834670939</v>
      </c>
      <c r="V71" s="48">
        <f t="shared" ca="1" si="21"/>
        <v>2293.9913428656541</v>
      </c>
      <c r="W71" s="48">
        <f t="shared" ca="1" si="21"/>
        <v>2069.8475666703598</v>
      </c>
      <c r="X71" s="48">
        <f t="shared" ca="1" si="21"/>
        <v>1876.5250304947485</v>
      </c>
      <c r="Y71" s="48">
        <f t="shared" ca="1" si="21"/>
        <v>1686.5836718590635</v>
      </c>
      <c r="Z71" s="48">
        <f t="shared" ca="1" si="21"/>
        <v>1550.4061253090272</v>
      </c>
      <c r="AA71" s="48">
        <f t="shared" ca="1" si="21"/>
        <v>1398.7469742931514</v>
      </c>
      <c r="AB71" s="48">
        <f t="shared" ca="1" si="21"/>
        <v>1318.116428050316</v>
      </c>
      <c r="AC71" s="48">
        <f t="shared" ca="1" si="21"/>
        <v>1252.3556742158196</v>
      </c>
      <c r="AD71" s="48">
        <f t="shared" ca="1" si="21"/>
        <v>1213.6020049693175</v>
      </c>
      <c r="AE71" s="48">
        <f t="shared" ca="1" si="21"/>
        <v>1405.2636330371258</v>
      </c>
      <c r="AF71" s="48">
        <f t="shared" ca="1" si="21"/>
        <v>1262.050475728264</v>
      </c>
      <c r="AG71" s="48">
        <f t="shared" ca="1" si="21"/>
        <v>1097.5520786361762</v>
      </c>
      <c r="AH71" s="48">
        <f t="shared" ca="1" si="21"/>
        <v>-10869.625044523464</v>
      </c>
      <c r="AI71" s="48">
        <f t="shared" ca="1" si="21"/>
        <v>0</v>
      </c>
      <c r="AJ71" s="48">
        <f t="shared" ca="1" si="21"/>
        <v>0</v>
      </c>
      <c r="AK71" s="48">
        <f t="shared" ca="1" si="21"/>
        <v>0</v>
      </c>
      <c r="AL71" s="48">
        <f t="shared" ca="1" si="21"/>
        <v>0</v>
      </c>
      <c r="AM71" s="48">
        <f t="shared" ca="1" si="21"/>
        <v>0</v>
      </c>
      <c r="AN71" s="48">
        <f t="shared" ca="1" si="21"/>
        <v>0</v>
      </c>
      <c r="AO71" s="48">
        <f t="shared" ca="1" si="21"/>
        <v>0</v>
      </c>
      <c r="AP71" s="48">
        <f t="shared" ca="1" si="21"/>
        <v>0</v>
      </c>
      <c r="AQ71" s="48">
        <f t="shared" ca="1" si="21"/>
        <v>0</v>
      </c>
      <c r="AR71" s="48">
        <f t="shared" ca="1" si="21"/>
        <v>0</v>
      </c>
      <c r="AS71" s="48">
        <f t="shared" ca="1" si="21"/>
        <v>0</v>
      </c>
      <c r="AT71" s="48">
        <f t="shared" ca="1" si="21"/>
        <v>0</v>
      </c>
      <c r="AU71" s="48">
        <f t="shared" ca="1" si="21"/>
        <v>0</v>
      </c>
    </row>
    <row r="72" spans="1:47" x14ac:dyDescent="0.3">
      <c r="A72" t="s">
        <v>610</v>
      </c>
      <c r="B72" s="25"/>
      <c r="C72" s="90"/>
      <c r="D72" s="90"/>
      <c r="E72" s="48">
        <f t="shared" ref="E72:AU72" si="22">E71/(1+E24)</f>
        <v>0</v>
      </c>
      <c r="F72" s="48">
        <f t="shared" ca="1" si="22"/>
        <v>0</v>
      </c>
      <c r="G72" s="48">
        <f t="shared" ca="1" si="22"/>
        <v>0</v>
      </c>
      <c r="H72" s="48">
        <f t="shared" ca="1" si="22"/>
        <v>0</v>
      </c>
      <c r="I72" s="48">
        <f t="shared" ca="1" si="22"/>
        <v>0</v>
      </c>
      <c r="J72" s="48">
        <f t="shared" ca="1" si="22"/>
        <v>0</v>
      </c>
      <c r="K72" s="48">
        <f t="shared" ca="1" si="22"/>
        <v>31018.296181217429</v>
      </c>
      <c r="L72" s="48">
        <f t="shared" ca="1" si="22"/>
        <v>3847.7528737845046</v>
      </c>
      <c r="M72" s="48">
        <f t="shared" ca="1" si="22"/>
        <v>2925.2952693161778</v>
      </c>
      <c r="N72" s="48">
        <f t="shared" ca="1" si="22"/>
        <v>2255.7820043955094</v>
      </c>
      <c r="O72" s="48">
        <f t="shared" ca="1" si="22"/>
        <v>1782.3717772112441</v>
      </c>
      <c r="P72" s="48">
        <f t="shared" ca="1" si="22"/>
        <v>1400.7530314234455</v>
      </c>
      <c r="Q72" s="48">
        <f t="shared" ca="1" si="22"/>
        <v>1084.0291213108985</v>
      </c>
      <c r="R72" s="48">
        <f t="shared" ca="1" si="22"/>
        <v>848.98047266398805</v>
      </c>
      <c r="S72" s="48">
        <f t="shared" ca="1" si="22"/>
        <v>662.25339168435232</v>
      </c>
      <c r="T72" s="48">
        <f t="shared" ca="1" si="22"/>
        <v>528.62277030006703</v>
      </c>
      <c r="U72" s="48">
        <f t="shared" ca="1" si="22"/>
        <v>320.01138815748641</v>
      </c>
      <c r="V72" s="48">
        <f t="shared" ca="1" si="22"/>
        <v>311.97196010296955</v>
      </c>
      <c r="W72" s="48">
        <f t="shared" ca="1" si="22"/>
        <v>249.97674013450339</v>
      </c>
      <c r="X72" s="48">
        <f t="shared" ca="1" si="22"/>
        <v>201.25795200762147</v>
      </c>
      <c r="Y72" s="48">
        <f t="shared" ca="1" si="22"/>
        <v>161.43309068604557</v>
      </c>
      <c r="Z72" s="48">
        <f t="shared" ca="1" si="22"/>
        <v>132.43907178215082</v>
      </c>
      <c r="AA72" s="48">
        <f t="shared" ca="1" si="22"/>
        <v>106.63402333904203</v>
      </c>
      <c r="AB72" s="48">
        <f t="shared" ca="1" si="22"/>
        <v>89.680163433460834</v>
      </c>
      <c r="AC72" s="48">
        <f t="shared" ca="1" si="22"/>
        <v>76.042482906640501</v>
      </c>
      <c r="AD72" s="48">
        <f t="shared" ca="1" si="22"/>
        <v>65.764401031339887</v>
      </c>
      <c r="AE72" s="48">
        <f t="shared" ca="1" si="22"/>
        <v>67.960782975889728</v>
      </c>
      <c r="AF72" s="48">
        <f t="shared" ca="1" si="22"/>
        <v>54.470739845199958</v>
      </c>
      <c r="AG72" s="48">
        <f t="shared" ca="1" si="22"/>
        <v>42.276367896602224</v>
      </c>
      <c r="AH72" s="48">
        <f t="shared" ca="1" si="22"/>
        <v>-373.65696138077624</v>
      </c>
      <c r="AI72" s="48">
        <f t="shared" ca="1" si="22"/>
        <v>0</v>
      </c>
      <c r="AJ72" s="48">
        <f t="shared" ca="1" si="22"/>
        <v>0</v>
      </c>
      <c r="AK72" s="48">
        <f t="shared" ca="1" si="22"/>
        <v>0</v>
      </c>
      <c r="AL72" s="48">
        <f t="shared" ca="1" si="22"/>
        <v>0</v>
      </c>
      <c r="AM72" s="48">
        <f t="shared" ca="1" si="22"/>
        <v>0</v>
      </c>
      <c r="AN72" s="48">
        <f t="shared" ca="1" si="22"/>
        <v>0</v>
      </c>
      <c r="AO72" s="48">
        <f t="shared" ca="1" si="22"/>
        <v>0</v>
      </c>
      <c r="AP72" s="48">
        <f t="shared" ca="1" si="22"/>
        <v>0</v>
      </c>
      <c r="AQ72" s="48">
        <f t="shared" ca="1" si="22"/>
        <v>0</v>
      </c>
      <c r="AR72" s="48">
        <f t="shared" ca="1" si="22"/>
        <v>0</v>
      </c>
      <c r="AS72" s="48">
        <f t="shared" ca="1" si="22"/>
        <v>0</v>
      </c>
      <c r="AT72" s="48">
        <f t="shared" ca="1" si="22"/>
        <v>0</v>
      </c>
      <c r="AU72" s="48">
        <f t="shared" ca="1" si="22"/>
        <v>0</v>
      </c>
    </row>
    <row r="73" spans="1:47" x14ac:dyDescent="0.3">
      <c r="C73" s="90"/>
    </row>
    <row r="74" spans="1:47" x14ac:dyDescent="0.3">
      <c r="A74" t="s">
        <v>715</v>
      </c>
      <c r="B74" s="224">
        <v>2030</v>
      </c>
    </row>
    <row r="76" spans="1:47" x14ac:dyDescent="0.3">
      <c r="A76" s="34" t="s">
        <v>21</v>
      </c>
      <c r="B76" s="61">
        <f ca="1">SUM(E72:AJ72,C72)</f>
        <v>47860.399096225796</v>
      </c>
    </row>
    <row r="77" spans="1:47" x14ac:dyDescent="0.3">
      <c r="A77" t="s">
        <v>22</v>
      </c>
      <c r="B77" s="55">
        <v>847012709</v>
      </c>
    </row>
    <row r="78" spans="1:47" x14ac:dyDescent="0.3">
      <c r="A78" s="34" t="s">
        <v>23</v>
      </c>
      <c r="B78" s="61">
        <f ca="1">B76*10^6/B77</f>
        <v>56.504936216046552</v>
      </c>
    </row>
    <row r="79" spans="1:47" x14ac:dyDescent="0.3">
      <c r="A79" s="34" t="s">
        <v>74</v>
      </c>
      <c r="B79" s="60">
        <f>B30</f>
        <v>47.8</v>
      </c>
    </row>
    <row r="80" spans="1:47" x14ac:dyDescent="0.3">
      <c r="A80" s="220" t="s">
        <v>676</v>
      </c>
      <c r="B80" s="217">
        <f ca="1">B78/B29-1</f>
        <v>1.5036100552688669E-2</v>
      </c>
    </row>
    <row r="84" spans="1:6" ht="66" x14ac:dyDescent="0.3">
      <c r="A84" t="s">
        <v>713</v>
      </c>
      <c r="B84" s="156">
        <f ca="1">B78</f>
        <v>56.504936216046552</v>
      </c>
      <c r="C84" s="102" t="s">
        <v>554</v>
      </c>
      <c r="D84" s="102" t="s">
        <v>594</v>
      </c>
      <c r="E84" s="102" t="s">
        <v>555</v>
      </c>
      <c r="F84" s="102" t="s">
        <v>678</v>
      </c>
    </row>
    <row r="85" spans="1:6" x14ac:dyDescent="0.3">
      <c r="A85" t="s">
        <v>714</v>
      </c>
      <c r="B85" s="166">
        <v>-0.05</v>
      </c>
      <c r="C85" s="167">
        <v>39.479564963126037</v>
      </c>
      <c r="D85" s="167">
        <v>51.782270372877704</v>
      </c>
      <c r="E85" s="167">
        <v>61.315416245247313</v>
      </c>
      <c r="F85" s="168">
        <f t="shared" ref="F85:F95" si="23">E85-C85</f>
        <v>21.835851282121276</v>
      </c>
    </row>
    <row r="86" spans="1:6" x14ac:dyDescent="0.3">
      <c r="B86" s="157">
        <f>B85+1%</f>
        <v>-0.04</v>
      </c>
      <c r="C86" s="141">
        <v>40.095021647899188</v>
      </c>
      <c r="D86" s="141">
        <v>52.520906951834334</v>
      </c>
      <c r="E86" s="141">
        <v>62.137275407849863</v>
      </c>
      <c r="F86" s="169">
        <f t="shared" si="23"/>
        <v>22.042253759950675</v>
      </c>
    </row>
    <row r="87" spans="1:6" x14ac:dyDescent="0.3">
      <c r="B87" s="166">
        <f t="shared" ref="B87:B95" si="24">B86+1%</f>
        <v>-0.03</v>
      </c>
      <c r="C87" s="167">
        <v>40.726850866356557</v>
      </c>
      <c r="D87" s="167">
        <v>53.278363498782895</v>
      </c>
      <c r="E87" s="167">
        <v>62.979758580776796</v>
      </c>
      <c r="F87" s="168">
        <f t="shared" si="23"/>
        <v>22.252907714420239</v>
      </c>
    </row>
    <row r="88" spans="1:6" x14ac:dyDescent="0.3">
      <c r="B88" s="157">
        <f t="shared" si="24"/>
        <v>-1.9999999999999997E-2</v>
      </c>
      <c r="C88" s="141">
        <v>41.375435274896809</v>
      </c>
      <c r="D88" s="141">
        <v>54.05506185545223</v>
      </c>
      <c r="E88" s="141">
        <v>63.843318635285328</v>
      </c>
      <c r="F88" s="169">
        <f t="shared" si="23"/>
        <v>22.46788336038852</v>
      </c>
    </row>
    <row r="89" spans="1:6" x14ac:dyDescent="0.3">
      <c r="B89" s="166">
        <f t="shared" si="24"/>
        <v>-9.9999999999999967E-3</v>
      </c>
      <c r="C89" s="167">
        <v>42.041164428377982</v>
      </c>
      <c r="D89" s="167">
        <v>54.85143116511297</v>
      </c>
      <c r="E89" s="167">
        <v>64.728416083584278</v>
      </c>
      <c r="F89" s="168">
        <f t="shared" si="23"/>
        <v>22.687251655206296</v>
      </c>
    </row>
    <row r="90" spans="1:6" x14ac:dyDescent="0.3">
      <c r="B90" s="157">
        <f t="shared" si="24"/>
        <v>0</v>
      </c>
      <c r="C90" s="141">
        <v>42.724434860805907</v>
      </c>
      <c r="D90" s="141">
        <v>55.667907954485074</v>
      </c>
      <c r="E90" s="141">
        <v>65.635519161636054</v>
      </c>
      <c r="F90" s="169">
        <f t="shared" si="23"/>
        <v>22.911084300830147</v>
      </c>
    </row>
    <row r="91" spans="1:6" x14ac:dyDescent="0.3">
      <c r="B91" s="166">
        <f t="shared" si="24"/>
        <v>0.01</v>
      </c>
      <c r="C91" s="167">
        <v>43.425650166439326</v>
      </c>
      <c r="D91" s="167">
        <v>56.504936216046552</v>
      </c>
      <c r="E91" s="167">
        <v>66.565103912340859</v>
      </c>
      <c r="F91" s="168">
        <f t="shared" si="23"/>
        <v>23.139453745901534</v>
      </c>
    </row>
    <row r="92" spans="1:6" x14ac:dyDescent="0.3">
      <c r="B92" s="157">
        <f t="shared" si="24"/>
        <v>0.02</v>
      </c>
      <c r="C92" s="141">
        <v>44.145221081311803</v>
      </c>
      <c r="D92" s="141">
        <v>57.362967490743351</v>
      </c>
      <c r="E92" s="141">
        <v>67.517654269102394</v>
      </c>
      <c r="F92" s="169">
        <f t="shared" si="23"/>
        <v>23.372433187790591</v>
      </c>
    </row>
    <row r="93" spans="1:6" x14ac:dyDescent="0.3">
      <c r="B93" s="166">
        <f t="shared" si="24"/>
        <v>0.03</v>
      </c>
      <c r="C93" s="167">
        <v>44.883565565170287</v>
      </c>
      <c r="D93" s="167">
        <v>58.242460951100803</v>
      </c>
      <c r="E93" s="167">
        <v>68.49366213977568</v>
      </c>
      <c r="F93" s="168">
        <f t="shared" si="23"/>
        <v>23.610096574605393</v>
      </c>
    </row>
    <row r="94" spans="1:6" x14ac:dyDescent="0.3">
      <c r="B94" s="157">
        <f t="shared" si="24"/>
        <v>0.04</v>
      </c>
      <c r="C94" s="141">
        <v>45.641108883830519</v>
      </c>
      <c r="D94" s="141">
        <v>59.143883484735959</v>
      </c>
      <c r="E94" s="141">
        <v>69.493627490996687</v>
      </c>
      <c r="F94" s="169">
        <f t="shared" si="23"/>
        <v>23.852518607166168</v>
      </c>
    </row>
    <row r="95" spans="1:6" x14ac:dyDescent="0.3">
      <c r="B95" s="166">
        <f t="shared" si="24"/>
        <v>0.05</v>
      </c>
      <c r="C95" s="167">
        <v>46.418283691948993</v>
      </c>
      <c r="D95" s="167">
        <v>60.067709778271457</v>
      </c>
      <c r="E95" s="167">
        <v>70.518058432893767</v>
      </c>
      <c r="F95" s="168">
        <f t="shared" si="23"/>
        <v>24.099774740944774</v>
      </c>
    </row>
    <row r="96" spans="1:6" ht="39.6" x14ac:dyDescent="0.3">
      <c r="B96" s="157" t="s">
        <v>678</v>
      </c>
      <c r="C96" s="169">
        <f>C95-C85</f>
        <v>6.9387187288229555</v>
      </c>
      <c r="D96" s="169">
        <f>D95-D85</f>
        <v>8.2854394053937526</v>
      </c>
      <c r="E96" s="169">
        <f>E95-E85</f>
        <v>9.2026421876464539</v>
      </c>
      <c r="F96" s="169"/>
    </row>
    <row r="108" customFormat="1" x14ac:dyDescent="0.3"/>
    <row r="109" customFormat="1" x14ac:dyDescent="0.3"/>
    <row r="110" customFormat="1" x14ac:dyDescent="0.3"/>
    <row r="111" customFormat="1" x14ac:dyDescent="0.3"/>
    <row r="112" customFormat="1" x14ac:dyDescent="0.3"/>
    <row r="128" customFormat="1" x14ac:dyDescent="0.3"/>
    <row r="1048567" spans="16384:16384" x14ac:dyDescent="0.3">
      <c r="XFD1048567" t="s">
        <v>716</v>
      </c>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1A526-E0FF-442B-BB06-13AEDF53EA3D}">
  <sheetPr>
    <tabColor theme="9" tint="-0.499984740745262"/>
  </sheetPr>
  <dimension ref="A1:AX350"/>
  <sheetViews>
    <sheetView showGridLines="0" topLeftCell="AB1" zoomScale="85" zoomScaleNormal="85" workbookViewId="0">
      <pane ySplit="2" topLeftCell="A3" activePane="bottomLeft" state="frozen"/>
      <selection pane="bottomLeft" activeCell="AX350" sqref="AX350"/>
    </sheetView>
  </sheetViews>
  <sheetFormatPr defaultColWidth="9.109375" defaultRowHeight="14.4" x14ac:dyDescent="0.3"/>
  <cols>
    <col min="1" max="1" width="11.88671875" bestFit="1" customWidth="1"/>
    <col min="2" max="2" width="10.109375" bestFit="1" customWidth="1"/>
    <col min="3" max="3" width="10.77734375" style="68" bestFit="1" customWidth="1"/>
    <col min="7" max="7" width="1.77734375" customWidth="1"/>
    <col min="8" max="8" width="12.88671875" bestFit="1" customWidth="1"/>
    <col min="9" max="9" width="11.33203125" bestFit="1" customWidth="1"/>
    <col min="10" max="10" width="13.33203125" bestFit="1" customWidth="1"/>
    <col min="11" max="11" width="16.21875" style="36" bestFit="1" customWidth="1"/>
    <col min="12" max="12" width="17.88671875" style="36" bestFit="1" customWidth="1"/>
    <col min="13" max="13" width="7.33203125" customWidth="1"/>
    <col min="14" max="14" width="10.77734375" customWidth="1"/>
    <col min="15" max="15" width="9.109375" style="36"/>
    <col min="19" max="19" width="1.5546875" customWidth="1"/>
    <col min="21" max="21" width="33.44140625" bestFit="1" customWidth="1"/>
    <col min="22" max="22" width="17.5546875" bestFit="1" customWidth="1"/>
    <col min="23" max="23" width="6.6640625" bestFit="1" customWidth="1"/>
    <col min="24" max="24" width="10.77734375" bestFit="1" customWidth="1"/>
    <col min="25" max="25" width="18.5546875" bestFit="1" customWidth="1"/>
    <col min="26" max="26" width="16.21875" bestFit="1" customWidth="1"/>
    <col min="27" max="27" width="17.5546875" bestFit="1" customWidth="1"/>
    <col min="28" max="28" width="34.5546875" bestFit="1" customWidth="1"/>
    <col min="29" max="29" width="10.44140625" bestFit="1" customWidth="1"/>
    <col min="30" max="30" width="29.44140625" bestFit="1" customWidth="1"/>
    <col min="31" max="31" width="55.6640625" bestFit="1" customWidth="1"/>
    <col min="32" max="32" width="1.33203125" customWidth="1"/>
    <col min="33" max="33" width="12.5546875" bestFit="1" customWidth="1"/>
    <col min="34" max="34" width="8.88671875"/>
    <col min="35" max="35" width="8.88671875" style="76"/>
    <col min="37" max="37" width="8.88671875"/>
    <col min="39" max="39" width="8.77734375" style="76" customWidth="1"/>
    <col min="40" max="40" width="8.88671875"/>
    <col min="41" max="41" width="13.5546875" bestFit="1" customWidth="1"/>
    <col min="42" max="42" width="1.33203125" customWidth="1"/>
    <col min="43" max="43" width="12.33203125" bestFit="1" customWidth="1"/>
    <col min="46" max="48" width="9.33203125" bestFit="1" customWidth="1"/>
    <col min="49" max="49" width="10.88671875" bestFit="1" customWidth="1"/>
    <col min="50" max="50" width="12" bestFit="1" customWidth="1"/>
    <col min="68" max="68" width="10.21875" bestFit="1" customWidth="1"/>
  </cols>
  <sheetData>
    <row r="1" spans="1:50" s="189" customFormat="1" ht="44.4" customHeight="1" x14ac:dyDescent="0.3">
      <c r="A1" s="81" t="s">
        <v>685</v>
      </c>
      <c r="B1" s="188"/>
      <c r="C1" s="188"/>
      <c r="D1" s="188"/>
      <c r="E1" s="188"/>
      <c r="F1" s="188"/>
      <c r="H1" s="188" t="s">
        <v>381</v>
      </c>
      <c r="I1" s="188" t="s">
        <v>744</v>
      </c>
      <c r="J1" s="188" t="s">
        <v>682</v>
      </c>
      <c r="K1" s="188" t="s">
        <v>745</v>
      </c>
      <c r="L1" s="188" t="s">
        <v>746</v>
      </c>
      <c r="N1" s="190" t="s">
        <v>683</v>
      </c>
      <c r="O1" s="234"/>
      <c r="P1" s="188"/>
      <c r="Q1" s="188"/>
      <c r="R1" s="188"/>
      <c r="T1" s="190" t="s">
        <v>684</v>
      </c>
      <c r="U1" s="188"/>
      <c r="V1" s="188"/>
      <c r="W1" s="188"/>
      <c r="X1" s="188"/>
      <c r="Y1" s="188"/>
      <c r="Z1" s="188"/>
      <c r="AA1" s="188"/>
      <c r="AB1" s="188"/>
      <c r="AC1" s="188"/>
      <c r="AD1" s="188"/>
      <c r="AE1" s="188"/>
      <c r="AG1" s="190" t="s">
        <v>749</v>
      </c>
      <c r="AH1" s="188"/>
      <c r="AI1" s="188"/>
      <c r="AJ1" s="188"/>
      <c r="AK1" s="188"/>
      <c r="AL1" s="188"/>
      <c r="AM1" s="188"/>
      <c r="AN1" s="188"/>
      <c r="AO1" s="188"/>
      <c r="AQ1" s="190" t="s">
        <v>748</v>
      </c>
      <c r="AR1" s="188"/>
      <c r="AS1" s="188"/>
      <c r="AT1" s="188"/>
      <c r="AU1" s="188"/>
      <c r="AV1" s="188"/>
      <c r="AW1" s="188"/>
      <c r="AX1" s="188"/>
    </row>
    <row r="2" spans="1:50" s="193" customFormat="1" ht="70.2" customHeight="1" x14ac:dyDescent="0.3">
      <c r="A2" s="191" t="s">
        <v>97</v>
      </c>
      <c r="B2" s="191" t="s">
        <v>367</v>
      </c>
      <c r="C2" s="192" t="s">
        <v>381</v>
      </c>
      <c r="D2" s="191" t="s">
        <v>1</v>
      </c>
      <c r="E2" s="191" t="s">
        <v>365</v>
      </c>
      <c r="F2" s="191" t="s">
        <v>268</v>
      </c>
      <c r="H2" s="192" t="s">
        <v>381</v>
      </c>
      <c r="I2" s="192" t="s">
        <v>368</v>
      </c>
      <c r="J2" s="191" t="s">
        <v>377</v>
      </c>
      <c r="K2" s="191" t="s">
        <v>4</v>
      </c>
      <c r="L2" s="237" t="s">
        <v>747</v>
      </c>
      <c r="N2" s="191" t="s">
        <v>350</v>
      </c>
      <c r="O2" s="194" t="s">
        <v>367</v>
      </c>
      <c r="P2" s="191" t="s">
        <v>1</v>
      </c>
      <c r="Q2" s="191" t="s">
        <v>365</v>
      </c>
      <c r="R2" s="191" t="s">
        <v>268</v>
      </c>
      <c r="T2" s="191" t="s">
        <v>1</v>
      </c>
      <c r="U2" s="191" t="s">
        <v>389</v>
      </c>
      <c r="V2" s="191" t="s">
        <v>390</v>
      </c>
      <c r="W2" s="194" t="s">
        <v>391</v>
      </c>
      <c r="X2" s="191" t="s">
        <v>392</v>
      </c>
      <c r="Y2" s="191" t="s">
        <v>393</v>
      </c>
      <c r="Z2" s="191" t="s">
        <v>394</v>
      </c>
      <c r="AA2" s="191" t="s">
        <v>395</v>
      </c>
      <c r="AB2" s="191" t="s">
        <v>396</v>
      </c>
      <c r="AC2" s="191" t="s">
        <v>397</v>
      </c>
      <c r="AD2" s="191" t="s">
        <v>398</v>
      </c>
      <c r="AE2" s="195" t="s">
        <v>399</v>
      </c>
      <c r="AG2" s="192" t="s">
        <v>514</v>
      </c>
      <c r="AH2" s="191" t="s">
        <v>515</v>
      </c>
      <c r="AI2" s="196" t="s">
        <v>516</v>
      </c>
      <c r="AJ2" s="191" t="s">
        <v>517</v>
      </c>
      <c r="AK2" s="191" t="s">
        <v>518</v>
      </c>
      <c r="AL2" s="191" t="s">
        <v>519</v>
      </c>
      <c r="AM2" s="196" t="s">
        <v>520</v>
      </c>
      <c r="AN2" s="191" t="s">
        <v>521</v>
      </c>
      <c r="AO2" s="191" t="s">
        <v>382</v>
      </c>
      <c r="AQ2" s="192" t="s">
        <v>613</v>
      </c>
      <c r="AR2" s="192" t="s">
        <v>614</v>
      </c>
      <c r="AS2" s="192" t="s">
        <v>618</v>
      </c>
      <c r="AT2" s="192" t="s">
        <v>616</v>
      </c>
      <c r="AU2" s="192" t="s">
        <v>615</v>
      </c>
      <c r="AV2" s="192" t="s">
        <v>617</v>
      </c>
      <c r="AW2" s="192" t="s">
        <v>382</v>
      </c>
      <c r="AX2" s="192" t="s">
        <v>617</v>
      </c>
    </row>
    <row r="3" spans="1:50" x14ac:dyDescent="0.3">
      <c r="A3" s="126" t="s">
        <v>349</v>
      </c>
      <c r="B3" s="174">
        <f>O318</f>
        <v>84.75</v>
      </c>
      <c r="C3" s="170">
        <v>45383</v>
      </c>
      <c r="D3" s="126">
        <v>2024</v>
      </c>
      <c r="E3" s="126">
        <v>4</v>
      </c>
      <c r="F3" s="126" t="s">
        <v>370</v>
      </c>
      <c r="H3" s="127">
        <v>2024</v>
      </c>
      <c r="I3" s="238">
        <v>3.7718000000000002E-2</v>
      </c>
      <c r="J3" s="238">
        <v>2.7E-2</v>
      </c>
      <c r="K3" s="240">
        <v>4.9326999999999996</v>
      </c>
      <c r="L3" s="238">
        <v>0.09</v>
      </c>
      <c r="N3" s="170">
        <v>44927</v>
      </c>
      <c r="O3" s="174">
        <v>85.91</v>
      </c>
      <c r="P3" s="126">
        <v>2023</v>
      </c>
      <c r="Q3" s="126">
        <v>1</v>
      </c>
      <c r="R3" s="126" t="s">
        <v>138</v>
      </c>
      <c r="T3" s="126">
        <v>2022</v>
      </c>
      <c r="U3" s="126" t="s">
        <v>400</v>
      </c>
      <c r="V3" s="127">
        <v>362</v>
      </c>
      <c r="W3" s="128">
        <v>1.29</v>
      </c>
      <c r="X3" s="129">
        <v>0.36159999999999998</v>
      </c>
      <c r="Y3" s="129">
        <v>0.1469</v>
      </c>
      <c r="Z3" s="128">
        <v>1.02</v>
      </c>
      <c r="AA3" s="129">
        <v>0.1343</v>
      </c>
      <c r="AB3" s="128">
        <v>1.17</v>
      </c>
      <c r="AC3" s="130">
        <v>0.43290000000000001</v>
      </c>
      <c r="AD3" s="129">
        <v>0.39700000000000002</v>
      </c>
      <c r="AE3" s="129">
        <v>0.23180000000000001</v>
      </c>
      <c r="AG3" s="170">
        <v>39692</v>
      </c>
      <c r="AH3" s="176">
        <v>1252</v>
      </c>
      <c r="AI3" s="180">
        <v>3.7199999999999997E-2</v>
      </c>
      <c r="AJ3" s="176"/>
      <c r="AK3" s="128"/>
      <c r="AL3" s="128"/>
      <c r="AM3" s="180"/>
      <c r="AN3" s="129"/>
      <c r="AO3" s="178">
        <v>2008</v>
      </c>
      <c r="AQ3" s="126">
        <v>1</v>
      </c>
      <c r="AR3" s="238">
        <v>5.04E-2</v>
      </c>
      <c r="AS3" s="172">
        <f>1+AR3</f>
        <v>1.0504</v>
      </c>
      <c r="AT3" s="172">
        <f>AR3</f>
        <v>5.04E-2</v>
      </c>
      <c r="AU3" s="174">
        <f>(1+AT3)</f>
        <v>1.0504</v>
      </c>
      <c r="AV3" s="172">
        <f t="shared" ref="AV3:AV32" si="0">AU3^(1/$AQ3)-1</f>
        <v>5.04E-2</v>
      </c>
      <c r="AW3" s="183">
        <v>2024</v>
      </c>
      <c r="AX3" s="242">
        <f>AV3-AR3</f>
        <v>0</v>
      </c>
    </row>
    <row r="4" spans="1:50" x14ac:dyDescent="0.3">
      <c r="A4" s="83" t="s">
        <v>348</v>
      </c>
      <c r="B4" s="83">
        <v>85.42</v>
      </c>
      <c r="C4" s="171">
        <v>45413</v>
      </c>
      <c r="D4" s="83">
        <v>2024</v>
      </c>
      <c r="E4" s="83">
        <v>5</v>
      </c>
      <c r="F4" s="83" t="s">
        <v>370</v>
      </c>
      <c r="H4" s="84">
        <v>2025</v>
      </c>
      <c r="I4" s="239">
        <v>3.5049999999999998E-2</v>
      </c>
      <c r="J4" s="173">
        <v>0.02</v>
      </c>
      <c r="K4" s="241">
        <v>5</v>
      </c>
      <c r="L4" s="239">
        <v>8.5000000000000006E-2</v>
      </c>
      <c r="N4" s="171">
        <v>44928</v>
      </c>
      <c r="O4" s="175">
        <v>85.91</v>
      </c>
      <c r="P4" s="83">
        <v>2023</v>
      </c>
      <c r="Q4" s="83">
        <v>1</v>
      </c>
      <c r="R4" s="83" t="s">
        <v>138</v>
      </c>
      <c r="T4" s="83">
        <v>2022</v>
      </c>
      <c r="U4" s="83" t="s">
        <v>401</v>
      </c>
      <c r="V4" s="84">
        <v>278</v>
      </c>
      <c r="W4" s="85">
        <v>1.1599999999999999</v>
      </c>
      <c r="X4" s="86">
        <v>0.2324</v>
      </c>
      <c r="Y4" s="86">
        <v>0.1021</v>
      </c>
      <c r="Z4" s="85">
        <v>0.99</v>
      </c>
      <c r="AA4" s="86">
        <v>6.7900000000000002E-2</v>
      </c>
      <c r="AB4" s="85">
        <v>1.06</v>
      </c>
      <c r="AC4" s="87">
        <v>0.38679999999999998</v>
      </c>
      <c r="AD4" s="86">
        <v>0.36230000000000001</v>
      </c>
      <c r="AE4" s="86">
        <v>0.15570000000000001</v>
      </c>
      <c r="AG4" s="171">
        <v>39722</v>
      </c>
      <c r="AH4" s="177">
        <v>1166</v>
      </c>
      <c r="AI4" s="181">
        <v>3.8300000000000001E-2</v>
      </c>
      <c r="AJ4" s="177"/>
      <c r="AK4" s="85"/>
      <c r="AL4" s="85"/>
      <c r="AM4" s="181"/>
      <c r="AN4" s="86"/>
      <c r="AO4" s="179">
        <v>2008</v>
      </c>
      <c r="AQ4" s="83">
        <v>2</v>
      </c>
      <c r="AR4" s="239">
        <v>4.6800000000000001E-2</v>
      </c>
      <c r="AS4" s="173">
        <f>1+AR4</f>
        <v>1.0468</v>
      </c>
      <c r="AT4" s="173">
        <f>AS4^(2)/AS3-1</f>
        <v>4.3212338156892516E-2</v>
      </c>
      <c r="AU4" s="175">
        <f t="shared" ref="AU4:AU12" si="1">((AU3)*(1+AT4))</f>
        <v>1.0957902399999999</v>
      </c>
      <c r="AV4" s="173">
        <f t="shared" si="0"/>
        <v>4.6799999999999953E-2</v>
      </c>
      <c r="AW4" s="184">
        <f>AW3+1</f>
        <v>2025</v>
      </c>
      <c r="AX4" s="186" t="s">
        <v>5</v>
      </c>
    </row>
    <row r="5" spans="1:50" x14ac:dyDescent="0.3">
      <c r="A5" s="126" t="s">
        <v>347</v>
      </c>
      <c r="B5" s="126">
        <v>84.74</v>
      </c>
      <c r="C5" s="170">
        <v>45444</v>
      </c>
      <c r="D5" s="126">
        <v>2024</v>
      </c>
      <c r="E5" s="126">
        <v>6</v>
      </c>
      <c r="F5" s="126" t="s">
        <v>370</v>
      </c>
      <c r="H5" s="127">
        <v>2026</v>
      </c>
      <c r="I5" s="238">
        <v>3.5000000000000003E-2</v>
      </c>
      <c r="J5" s="172">
        <v>0.02</v>
      </c>
      <c r="K5" s="240">
        <v>5.04</v>
      </c>
      <c r="L5" s="238">
        <v>8.5000000000000006E-2</v>
      </c>
      <c r="N5" s="170">
        <v>44929</v>
      </c>
      <c r="O5" s="174">
        <v>82.1</v>
      </c>
      <c r="P5" s="126">
        <v>2023</v>
      </c>
      <c r="Q5" s="126">
        <v>1</v>
      </c>
      <c r="R5" s="126" t="s">
        <v>138</v>
      </c>
      <c r="T5" s="126">
        <v>2022</v>
      </c>
      <c r="U5" s="126" t="s">
        <v>402</v>
      </c>
      <c r="V5" s="127">
        <v>155</v>
      </c>
      <c r="W5" s="128">
        <v>1.24</v>
      </c>
      <c r="X5" s="129">
        <v>1.0998000000000001</v>
      </c>
      <c r="Y5" s="129">
        <v>8.72E-2</v>
      </c>
      <c r="Z5" s="128">
        <v>0.68</v>
      </c>
      <c r="AA5" s="129">
        <v>0.1129</v>
      </c>
      <c r="AB5" s="128">
        <v>0.76</v>
      </c>
      <c r="AC5" s="130">
        <v>0.32650000000000001</v>
      </c>
      <c r="AD5" s="129">
        <v>0.30859999999999999</v>
      </c>
      <c r="AE5" s="129">
        <v>2.1960999999999999</v>
      </c>
      <c r="AG5" s="170">
        <v>39753</v>
      </c>
      <c r="AH5" s="176">
        <v>969</v>
      </c>
      <c r="AI5" s="180">
        <v>3.95E-2</v>
      </c>
      <c r="AJ5" s="176"/>
      <c r="AK5" s="128"/>
      <c r="AL5" s="128"/>
      <c r="AM5" s="180"/>
      <c r="AN5" s="129"/>
      <c r="AO5" s="178">
        <v>2008</v>
      </c>
      <c r="AQ5" s="126">
        <v>3</v>
      </c>
      <c r="AR5" s="238">
        <v>4.4600000000000001E-2</v>
      </c>
      <c r="AS5" s="172">
        <f>1+AR5</f>
        <v>1.0446</v>
      </c>
      <c r="AT5" s="172">
        <f>AS5^(3)/AS4^2-1</f>
        <v>4.0213861127290196E-2</v>
      </c>
      <c r="AU5" s="174">
        <f t="shared" si="1"/>
        <v>1.1398561965359999</v>
      </c>
      <c r="AV5" s="172">
        <f t="shared" si="0"/>
        <v>4.4599999999999973E-2</v>
      </c>
      <c r="AW5" s="183">
        <f t="shared" ref="AW5:AW32" si="2">AW4+1</f>
        <v>2026</v>
      </c>
      <c r="AX5" s="185">
        <f>AV5-AR5</f>
        <v>0</v>
      </c>
    </row>
    <row r="6" spans="1:50" x14ac:dyDescent="0.3">
      <c r="A6" s="83" t="s">
        <v>346</v>
      </c>
      <c r="B6" s="83">
        <v>84.03</v>
      </c>
      <c r="C6" s="171">
        <v>45474</v>
      </c>
      <c r="D6" s="83">
        <v>2024</v>
      </c>
      <c r="E6" s="83">
        <v>7</v>
      </c>
      <c r="F6" s="83" t="s">
        <v>371</v>
      </c>
      <c r="H6" s="84">
        <v>2027</v>
      </c>
      <c r="I6" s="239">
        <v>3.5000000000000003E-2</v>
      </c>
      <c r="J6" s="173">
        <v>0.02</v>
      </c>
      <c r="K6" s="241">
        <v>5.0999999999999996</v>
      </c>
      <c r="L6" s="239">
        <v>8.5000000000000006E-2</v>
      </c>
      <c r="N6" s="171">
        <v>44930</v>
      </c>
      <c r="O6" s="175">
        <v>77.84</v>
      </c>
      <c r="P6" s="83">
        <v>2023</v>
      </c>
      <c r="Q6" s="83">
        <v>1</v>
      </c>
      <c r="R6" s="83" t="s">
        <v>138</v>
      </c>
      <c r="T6" s="83">
        <v>2022</v>
      </c>
      <c r="U6" s="83" t="s">
        <v>403</v>
      </c>
      <c r="V6" s="84">
        <v>1146</v>
      </c>
      <c r="W6" s="85">
        <v>0.9</v>
      </c>
      <c r="X6" s="86">
        <v>0.18149999999999999</v>
      </c>
      <c r="Y6" s="86">
        <v>0.1492</v>
      </c>
      <c r="Z6" s="85">
        <v>0.79</v>
      </c>
      <c r="AA6" s="86">
        <v>5.7099999999999998E-2</v>
      </c>
      <c r="AB6" s="85">
        <v>0.84</v>
      </c>
      <c r="AC6" s="87">
        <v>0.36520000000000002</v>
      </c>
      <c r="AD6" s="86">
        <v>0.3478</v>
      </c>
      <c r="AE6" s="86">
        <v>0.27710000000000001</v>
      </c>
      <c r="AG6" s="171">
        <v>39783</v>
      </c>
      <c r="AH6" s="177">
        <v>896</v>
      </c>
      <c r="AI6" s="181">
        <v>2.92E-2</v>
      </c>
      <c r="AJ6" s="177"/>
      <c r="AK6" s="85"/>
      <c r="AL6" s="85"/>
      <c r="AM6" s="181"/>
      <c r="AN6" s="86"/>
      <c r="AO6" s="179">
        <v>2008</v>
      </c>
      <c r="AQ6" s="83">
        <v>4</v>
      </c>
      <c r="AR6" s="120"/>
      <c r="AS6" s="120"/>
      <c r="AT6" s="173">
        <f>AT7</f>
        <v>4.0355185985008202E-2</v>
      </c>
      <c r="AU6" s="175">
        <f t="shared" si="1"/>
        <v>1.1858553053433742</v>
      </c>
      <c r="AV6" s="173">
        <f t="shared" si="0"/>
        <v>4.3537175545917517E-2</v>
      </c>
      <c r="AW6" s="184">
        <f t="shared" si="2"/>
        <v>2027</v>
      </c>
      <c r="AX6" s="186"/>
    </row>
    <row r="7" spans="1:50" x14ac:dyDescent="0.3">
      <c r="A7" s="126" t="s">
        <v>345</v>
      </c>
      <c r="B7" s="126">
        <v>83.33</v>
      </c>
      <c r="C7" s="170">
        <v>45505</v>
      </c>
      <c r="D7" s="126">
        <v>2024</v>
      </c>
      <c r="E7" s="126">
        <v>8</v>
      </c>
      <c r="F7" s="126" t="s">
        <v>371</v>
      </c>
      <c r="H7" s="127">
        <v>2028</v>
      </c>
      <c r="I7" s="238">
        <v>3.5000000000000003E-2</v>
      </c>
      <c r="J7" s="172">
        <v>0.02</v>
      </c>
      <c r="K7" s="240">
        <v>5.0999999999999996</v>
      </c>
      <c r="L7" s="238">
        <v>8.5000000000000006E-2</v>
      </c>
      <c r="N7" s="170">
        <v>44931</v>
      </c>
      <c r="O7" s="174">
        <v>78.69</v>
      </c>
      <c r="P7" s="126">
        <v>2023</v>
      </c>
      <c r="Q7" s="126">
        <v>1</v>
      </c>
      <c r="R7" s="126" t="s">
        <v>138</v>
      </c>
      <c r="T7" s="126">
        <v>2022</v>
      </c>
      <c r="U7" s="126" t="s">
        <v>404</v>
      </c>
      <c r="V7" s="127">
        <v>154</v>
      </c>
      <c r="W7" s="128">
        <v>1.35</v>
      </c>
      <c r="X7" s="129">
        <v>0.7369</v>
      </c>
      <c r="Y7" s="129">
        <v>0.1132</v>
      </c>
      <c r="Z7" s="128">
        <v>0.87</v>
      </c>
      <c r="AA7" s="129">
        <v>0.15870000000000001</v>
      </c>
      <c r="AB7" s="128">
        <v>1.03</v>
      </c>
      <c r="AC7" s="130">
        <v>0.43440000000000001</v>
      </c>
      <c r="AD7" s="129">
        <v>0.33900000000000002</v>
      </c>
      <c r="AE7" s="129">
        <v>0.218</v>
      </c>
      <c r="AG7" s="170">
        <v>39814</v>
      </c>
      <c r="AH7" s="176">
        <v>903</v>
      </c>
      <c r="AI7" s="180">
        <v>2.2100000000000002E-2</v>
      </c>
      <c r="AJ7" s="176"/>
      <c r="AK7" s="128">
        <v>52.58</v>
      </c>
      <c r="AL7" s="128"/>
      <c r="AM7" s="180">
        <v>0.04</v>
      </c>
      <c r="AN7" s="129"/>
      <c r="AO7" s="178">
        <v>2009</v>
      </c>
      <c r="AQ7" s="126">
        <v>5</v>
      </c>
      <c r="AR7" s="238">
        <v>4.2900000000000001E-2</v>
      </c>
      <c r="AS7" s="172">
        <f>1+AR7</f>
        <v>1.0428999999999999</v>
      </c>
      <c r="AT7" s="172">
        <f>(AS7^5/AS5^3)^(1/2)-1</f>
        <v>4.0355185985008202E-2</v>
      </c>
      <c r="AU7" s="174">
        <f t="shared" si="1"/>
        <v>1.2337107167418149</v>
      </c>
      <c r="AV7" s="172">
        <f t="shared" si="0"/>
        <v>4.2899999999999938E-2</v>
      </c>
      <c r="AW7" s="183">
        <f t="shared" si="2"/>
        <v>2028</v>
      </c>
      <c r="AX7" s="185">
        <f>AV7-AR7</f>
        <v>-6.2450045135165055E-17</v>
      </c>
    </row>
    <row r="8" spans="1:50" x14ac:dyDescent="0.3">
      <c r="A8" s="83" t="s">
        <v>344</v>
      </c>
      <c r="B8" s="83">
        <v>82.62</v>
      </c>
      <c r="C8" s="171">
        <v>45536</v>
      </c>
      <c r="D8" s="83">
        <v>2024</v>
      </c>
      <c r="E8" s="83">
        <v>9</v>
      </c>
      <c r="F8" s="83" t="s">
        <v>371</v>
      </c>
      <c r="H8" s="84">
        <v>2029</v>
      </c>
      <c r="I8" s="173">
        <v>0.03</v>
      </c>
      <c r="J8" s="173">
        <v>0.02</v>
      </c>
      <c r="K8" s="175">
        <f>K7*(1+I8)/(1+J8)</f>
        <v>5.15</v>
      </c>
      <c r="L8" s="173">
        <v>8.5000000000000006E-2</v>
      </c>
      <c r="N8" s="171">
        <v>44932</v>
      </c>
      <c r="O8" s="175">
        <v>78.569999999999993</v>
      </c>
      <c r="P8" s="83">
        <v>2023</v>
      </c>
      <c r="Q8" s="83">
        <v>1</v>
      </c>
      <c r="R8" s="83" t="s">
        <v>138</v>
      </c>
      <c r="T8" s="83">
        <v>2022</v>
      </c>
      <c r="U8" s="83" t="s">
        <v>405</v>
      </c>
      <c r="V8" s="84">
        <v>746</v>
      </c>
      <c r="W8" s="85">
        <v>1.41</v>
      </c>
      <c r="X8" s="86">
        <v>0.35239999999999999</v>
      </c>
      <c r="Y8" s="86">
        <v>0.16869999999999999</v>
      </c>
      <c r="Z8" s="85">
        <v>1.1200000000000001</v>
      </c>
      <c r="AA8" s="86">
        <v>0.1328</v>
      </c>
      <c r="AB8" s="85">
        <v>1.29</v>
      </c>
      <c r="AC8" s="87">
        <v>0.3301</v>
      </c>
      <c r="AD8" s="86">
        <v>0.315</v>
      </c>
      <c r="AE8" s="86">
        <v>0.217</v>
      </c>
      <c r="AG8" s="171">
        <v>39845</v>
      </c>
      <c r="AH8" s="177">
        <v>826</v>
      </c>
      <c r="AI8" s="181">
        <v>2.87E-2</v>
      </c>
      <c r="AJ8" s="177"/>
      <c r="AK8" s="85">
        <v>52.58</v>
      </c>
      <c r="AL8" s="85"/>
      <c r="AM8" s="181">
        <v>0.04</v>
      </c>
      <c r="AN8" s="86"/>
      <c r="AO8" s="179">
        <v>2009</v>
      </c>
      <c r="AQ8" s="83">
        <v>6</v>
      </c>
      <c r="AR8" s="120"/>
      <c r="AS8" s="120"/>
      <c r="AT8" s="173">
        <f>AT9</f>
        <v>4.3250041952341833E-2</v>
      </c>
      <c r="AU8" s="175">
        <f t="shared" si="1"/>
        <v>1.287068756997952</v>
      </c>
      <c r="AV8" s="173">
        <f t="shared" si="0"/>
        <v>4.2958332168099078E-2</v>
      </c>
      <c r="AW8" s="184">
        <f t="shared" si="2"/>
        <v>2029</v>
      </c>
      <c r="AX8" s="186"/>
    </row>
    <row r="9" spans="1:50" x14ac:dyDescent="0.3">
      <c r="A9" s="126" t="s">
        <v>343</v>
      </c>
      <c r="B9" s="126">
        <v>81.93</v>
      </c>
      <c r="C9" s="170">
        <v>45566</v>
      </c>
      <c r="D9" s="126">
        <v>2024</v>
      </c>
      <c r="E9" s="126">
        <v>10</v>
      </c>
      <c r="F9" s="126" t="s">
        <v>372</v>
      </c>
      <c r="H9" s="127">
        <v>2030</v>
      </c>
      <c r="I9" s="172">
        <v>0.03</v>
      </c>
      <c r="J9" s="172">
        <v>0.02</v>
      </c>
      <c r="K9" s="174">
        <f t="shared" ref="K9:K59" si="3">K8*(1+I9)/(1+J9)</f>
        <v>5.200490196078432</v>
      </c>
      <c r="L9" s="172">
        <v>8.5000000000000006E-2</v>
      </c>
      <c r="N9" s="170">
        <v>44935</v>
      </c>
      <c r="O9" s="174">
        <v>79.650000000000006</v>
      </c>
      <c r="P9" s="126">
        <v>2023</v>
      </c>
      <c r="Q9" s="126">
        <v>1</v>
      </c>
      <c r="R9" s="126" t="s">
        <v>138</v>
      </c>
      <c r="T9" s="126">
        <v>2022</v>
      </c>
      <c r="U9" s="126" t="s">
        <v>474</v>
      </c>
      <c r="V9" s="127">
        <v>596</v>
      </c>
      <c r="W9" s="128">
        <v>0.88</v>
      </c>
      <c r="X9" s="129">
        <v>3.0041000000000002</v>
      </c>
      <c r="Y9" s="129">
        <v>0.20949999999999999</v>
      </c>
      <c r="Z9" s="128">
        <v>0.27</v>
      </c>
      <c r="AA9" s="129">
        <v>0.3871</v>
      </c>
      <c r="AB9" s="128">
        <v>0.44</v>
      </c>
      <c r="AC9" s="130">
        <v>0.23430000000000001</v>
      </c>
      <c r="AD9" s="129">
        <v>0.21679999999999999</v>
      </c>
      <c r="AE9" s="129">
        <v>0.43759999999999999</v>
      </c>
      <c r="AG9" s="170">
        <v>39873</v>
      </c>
      <c r="AH9" s="176">
        <v>735</v>
      </c>
      <c r="AI9" s="180">
        <v>3.0200000000000001E-2</v>
      </c>
      <c r="AJ9" s="176"/>
      <c r="AK9" s="128">
        <v>52.58</v>
      </c>
      <c r="AL9" s="128"/>
      <c r="AM9" s="180">
        <v>0.04</v>
      </c>
      <c r="AN9" s="129"/>
      <c r="AO9" s="178">
        <v>2009</v>
      </c>
      <c r="AQ9" s="126">
        <v>7</v>
      </c>
      <c r="AR9" s="238">
        <v>4.2999999999999997E-2</v>
      </c>
      <c r="AS9" s="172">
        <f>1+AR9</f>
        <v>1.0429999999999999</v>
      </c>
      <c r="AT9" s="172">
        <f>(AS9^7/AS7^5)^(1/2)-1</f>
        <v>4.3250041952341833E-2</v>
      </c>
      <c r="AU9" s="174">
        <f t="shared" si="1"/>
        <v>1.3427345347336619</v>
      </c>
      <c r="AV9" s="172">
        <f t="shared" si="0"/>
        <v>4.2999999999999927E-2</v>
      </c>
      <c r="AW9" s="183">
        <f t="shared" si="2"/>
        <v>2030</v>
      </c>
      <c r="AX9" s="185">
        <f>AV9-AR9</f>
        <v>-6.9388939039072284E-17</v>
      </c>
    </row>
    <row r="10" spans="1:50" x14ac:dyDescent="0.3">
      <c r="A10" s="83" t="s">
        <v>342</v>
      </c>
      <c r="B10" s="83">
        <v>81.28</v>
      </c>
      <c r="C10" s="171">
        <v>45597</v>
      </c>
      <c r="D10" s="83">
        <v>2024</v>
      </c>
      <c r="E10" s="83">
        <v>11</v>
      </c>
      <c r="F10" s="83" t="s">
        <v>372</v>
      </c>
      <c r="H10" s="84">
        <v>2031</v>
      </c>
      <c r="I10" s="173">
        <v>0.03</v>
      </c>
      <c r="J10" s="173">
        <v>0.02</v>
      </c>
      <c r="K10" s="175">
        <f t="shared" si="3"/>
        <v>5.2514753940792014</v>
      </c>
      <c r="L10" s="173">
        <v>8.5000000000000006E-2</v>
      </c>
      <c r="N10" s="171">
        <v>44936</v>
      </c>
      <c r="O10" s="175">
        <v>80.099999999999994</v>
      </c>
      <c r="P10" s="83">
        <v>2023</v>
      </c>
      <c r="Q10" s="83">
        <v>1</v>
      </c>
      <c r="R10" s="83" t="s">
        <v>138</v>
      </c>
      <c r="T10" s="83">
        <v>2022</v>
      </c>
      <c r="U10" s="83" t="s">
        <v>406</v>
      </c>
      <c r="V10" s="84">
        <v>800</v>
      </c>
      <c r="W10" s="85">
        <v>0.56000000000000005</v>
      </c>
      <c r="X10" s="86">
        <v>1.9341999999999999</v>
      </c>
      <c r="Y10" s="86">
        <v>0.19189999999999999</v>
      </c>
      <c r="Z10" s="85">
        <v>0.23</v>
      </c>
      <c r="AA10" s="86">
        <v>0.35849999999999999</v>
      </c>
      <c r="AB10" s="85">
        <v>0.36</v>
      </c>
      <c r="AC10" s="87">
        <v>0.1807</v>
      </c>
      <c r="AD10" s="86">
        <v>0.17829999999999999</v>
      </c>
      <c r="AE10" s="86" t="s">
        <v>496</v>
      </c>
      <c r="AG10" s="171">
        <v>39904</v>
      </c>
      <c r="AH10" s="177">
        <v>798</v>
      </c>
      <c r="AI10" s="181">
        <v>2.7099999999999999E-2</v>
      </c>
      <c r="AJ10" s="177"/>
      <c r="AK10" s="85">
        <v>51.55</v>
      </c>
      <c r="AL10" s="85"/>
      <c r="AM10" s="181">
        <v>0.04</v>
      </c>
      <c r="AN10" s="86"/>
      <c r="AO10" s="179">
        <v>2009</v>
      </c>
      <c r="AQ10" s="83">
        <v>8</v>
      </c>
      <c r="AR10" s="120"/>
      <c r="AS10" s="120"/>
      <c r="AT10" s="173">
        <f>AT11</f>
        <v>4.2666703950685614E-2</v>
      </c>
      <c r="AU10" s="175">
        <f t="shared" si="1"/>
        <v>1.4000245916115046</v>
      </c>
      <c r="AV10" s="173">
        <f t="shared" si="0"/>
        <v>4.2958332168099078E-2</v>
      </c>
      <c r="AW10" s="184">
        <f t="shared" si="2"/>
        <v>2031</v>
      </c>
      <c r="AX10" s="186"/>
    </row>
    <row r="11" spans="1:50" x14ac:dyDescent="0.3">
      <c r="A11" s="126" t="s">
        <v>341</v>
      </c>
      <c r="B11" s="126">
        <v>80.680000000000007</v>
      </c>
      <c r="C11" s="170">
        <v>45627</v>
      </c>
      <c r="D11" s="126">
        <v>2024</v>
      </c>
      <c r="E11" s="126">
        <v>12</v>
      </c>
      <c r="F11" s="126" t="s">
        <v>372</v>
      </c>
      <c r="H11" s="127">
        <v>2032</v>
      </c>
      <c r="I11" s="172">
        <v>0.03</v>
      </c>
      <c r="J11" s="172">
        <v>0.02</v>
      </c>
      <c r="K11" s="174">
        <f t="shared" si="3"/>
        <v>5.3029604469623308</v>
      </c>
      <c r="L11" s="172">
        <v>8.5000000000000006E-2</v>
      </c>
      <c r="N11" s="170">
        <v>44937</v>
      </c>
      <c r="O11" s="174">
        <v>82.67</v>
      </c>
      <c r="P11" s="126">
        <v>2023</v>
      </c>
      <c r="Q11" s="126">
        <v>1</v>
      </c>
      <c r="R11" s="126" t="s">
        <v>138</v>
      </c>
      <c r="T11" s="126">
        <v>2022</v>
      </c>
      <c r="U11" s="126" t="s">
        <v>407</v>
      </c>
      <c r="V11" s="127">
        <v>220</v>
      </c>
      <c r="W11" s="128">
        <v>0.87</v>
      </c>
      <c r="X11" s="129">
        <v>0.1638</v>
      </c>
      <c r="Y11" s="129">
        <v>0.1714</v>
      </c>
      <c r="Z11" s="128">
        <v>0.78</v>
      </c>
      <c r="AA11" s="129">
        <v>4.24E-2</v>
      </c>
      <c r="AB11" s="128">
        <v>0.81</v>
      </c>
      <c r="AC11" s="130">
        <v>0.29709999999999998</v>
      </c>
      <c r="AD11" s="129">
        <v>0.28570000000000001</v>
      </c>
      <c r="AE11" s="129">
        <v>0.14460000000000001</v>
      </c>
      <c r="AG11" s="170">
        <v>39934</v>
      </c>
      <c r="AH11" s="176">
        <v>873</v>
      </c>
      <c r="AI11" s="180">
        <v>3.1600000000000003E-2</v>
      </c>
      <c r="AJ11" s="176"/>
      <c r="AK11" s="128">
        <v>51.55</v>
      </c>
      <c r="AL11" s="128"/>
      <c r="AM11" s="180">
        <v>0.04</v>
      </c>
      <c r="AN11" s="129"/>
      <c r="AO11" s="178">
        <v>2009</v>
      </c>
      <c r="AQ11" s="126">
        <v>9</v>
      </c>
      <c r="AR11" s="120"/>
      <c r="AS11" s="120"/>
      <c r="AT11" s="172">
        <f>AT12</f>
        <v>4.2666703950685614E-2</v>
      </c>
      <c r="AU11" s="174">
        <f t="shared" si="1"/>
        <v>1.4597590263854723</v>
      </c>
      <c r="AV11" s="172">
        <f t="shared" si="0"/>
        <v>4.2925925005256493E-2</v>
      </c>
      <c r="AW11" s="183">
        <f t="shared" si="2"/>
        <v>2032</v>
      </c>
      <c r="AX11" s="185"/>
    </row>
    <row r="12" spans="1:50" x14ac:dyDescent="0.3">
      <c r="A12" s="83" t="s">
        <v>340</v>
      </c>
      <c r="B12" s="83">
        <v>80.099999999999994</v>
      </c>
      <c r="C12" s="171">
        <v>45658</v>
      </c>
      <c r="D12" s="83">
        <v>2025</v>
      </c>
      <c r="E12" s="83">
        <v>1</v>
      </c>
      <c r="F12" s="83" t="s">
        <v>373</v>
      </c>
      <c r="H12" s="84">
        <v>2033</v>
      </c>
      <c r="I12" s="173">
        <v>0.03</v>
      </c>
      <c r="J12" s="173">
        <v>0.02</v>
      </c>
      <c r="K12" s="175">
        <f t="shared" si="3"/>
        <v>5.3549502552658828</v>
      </c>
      <c r="L12" s="173">
        <v>8.5000000000000006E-2</v>
      </c>
      <c r="N12" s="171">
        <v>44938</v>
      </c>
      <c r="O12" s="175">
        <v>84.03</v>
      </c>
      <c r="P12" s="83">
        <v>2023</v>
      </c>
      <c r="Q12" s="83">
        <v>1</v>
      </c>
      <c r="R12" s="83" t="s">
        <v>138</v>
      </c>
      <c r="T12" s="83">
        <v>2022</v>
      </c>
      <c r="U12" s="83" t="s">
        <v>475</v>
      </c>
      <c r="V12" s="84">
        <v>100</v>
      </c>
      <c r="W12" s="85">
        <v>0.86</v>
      </c>
      <c r="X12" s="86">
        <v>0.15379999999999999</v>
      </c>
      <c r="Y12" s="86">
        <v>0.1338</v>
      </c>
      <c r="Z12" s="85">
        <v>0.77</v>
      </c>
      <c r="AA12" s="86">
        <v>3.4799999999999998E-2</v>
      </c>
      <c r="AB12" s="85">
        <v>0.79</v>
      </c>
      <c r="AC12" s="87">
        <v>0.40350000000000003</v>
      </c>
      <c r="AD12" s="86">
        <v>0.3105</v>
      </c>
      <c r="AE12" s="86">
        <v>0.1244</v>
      </c>
      <c r="AG12" s="171">
        <v>39965</v>
      </c>
      <c r="AH12" s="177">
        <v>919</v>
      </c>
      <c r="AI12" s="181">
        <v>3.4700000000000002E-2</v>
      </c>
      <c r="AJ12" s="177"/>
      <c r="AK12" s="85">
        <v>51.55</v>
      </c>
      <c r="AL12" s="85"/>
      <c r="AM12" s="181">
        <v>0.04</v>
      </c>
      <c r="AN12" s="86"/>
      <c r="AO12" s="179">
        <v>2009</v>
      </c>
      <c r="AQ12" s="83">
        <v>10</v>
      </c>
      <c r="AR12" s="239">
        <v>4.2900000000000001E-2</v>
      </c>
      <c r="AS12" s="173">
        <f>1+AR12</f>
        <v>1.0428999999999999</v>
      </c>
      <c r="AT12" s="173">
        <f>(AS12^10/AS9^7)^(1/3)-1</f>
        <v>4.2666703950685614E-2</v>
      </c>
      <c r="AU12" s="175">
        <f t="shared" si="1"/>
        <v>1.5220421326036022</v>
      </c>
      <c r="AV12" s="173">
        <f t="shared" si="0"/>
        <v>4.2899999999999938E-2</v>
      </c>
      <c r="AW12" s="184">
        <f t="shared" si="2"/>
        <v>2033</v>
      </c>
      <c r="AX12" s="197">
        <f>AV12-AR12</f>
        <v>-6.2450045135165055E-17</v>
      </c>
    </row>
    <row r="13" spans="1:50" x14ac:dyDescent="0.3">
      <c r="A13" s="126" t="s">
        <v>339</v>
      </c>
      <c r="B13" s="126">
        <v>79.569999999999993</v>
      </c>
      <c r="C13" s="170">
        <v>45689</v>
      </c>
      <c r="D13" s="126">
        <v>2025</v>
      </c>
      <c r="E13" s="126">
        <v>2</v>
      </c>
      <c r="F13" s="126" t="s">
        <v>373</v>
      </c>
      <c r="H13" s="127">
        <v>2034</v>
      </c>
      <c r="I13" s="172">
        <v>0.03</v>
      </c>
      <c r="J13" s="172">
        <v>0.02</v>
      </c>
      <c r="K13" s="174">
        <f t="shared" si="3"/>
        <v>5.4074497675724107</v>
      </c>
      <c r="L13" s="172">
        <v>8.5000000000000006E-2</v>
      </c>
      <c r="N13" s="170">
        <v>44939</v>
      </c>
      <c r="O13" s="174">
        <v>85.55</v>
      </c>
      <c r="P13" s="126">
        <v>2023</v>
      </c>
      <c r="Q13" s="126">
        <v>1</v>
      </c>
      <c r="R13" s="126" t="s">
        <v>138</v>
      </c>
      <c r="T13" s="126">
        <v>2022</v>
      </c>
      <c r="U13" s="126" t="s">
        <v>408</v>
      </c>
      <c r="V13" s="127">
        <v>135</v>
      </c>
      <c r="W13" s="128">
        <v>1.06</v>
      </c>
      <c r="X13" s="129">
        <v>0.80640000000000001</v>
      </c>
      <c r="Y13" s="129">
        <v>0.16500000000000001</v>
      </c>
      <c r="Z13" s="128">
        <v>0.66</v>
      </c>
      <c r="AA13" s="129">
        <v>0.1167</v>
      </c>
      <c r="AB13" s="128">
        <v>0.74</v>
      </c>
      <c r="AC13" s="130">
        <v>0.371</v>
      </c>
      <c r="AD13" s="129">
        <v>0.34720000000000001</v>
      </c>
      <c r="AE13" s="129">
        <v>0.1411</v>
      </c>
      <c r="AG13" s="170">
        <v>39995</v>
      </c>
      <c r="AH13" s="176">
        <v>919</v>
      </c>
      <c r="AI13" s="180">
        <v>3.5299999999999998E-2</v>
      </c>
      <c r="AJ13" s="176"/>
      <c r="AK13" s="128">
        <v>50.95</v>
      </c>
      <c r="AL13" s="128"/>
      <c r="AM13" s="180">
        <v>0.04</v>
      </c>
      <c r="AN13" s="129"/>
      <c r="AO13" s="178">
        <v>2009</v>
      </c>
      <c r="AQ13" s="126">
        <f>AQ12+1</f>
        <v>11</v>
      </c>
      <c r="AR13" s="120"/>
      <c r="AS13" s="120"/>
      <c r="AT13" s="172">
        <f t="shared" ref="AT13:AT20" si="4">AT14</f>
        <v>4.7905992904401451E-2</v>
      </c>
      <c r="AU13" s="174">
        <f t="shared" ref="AU13:AU22" si="5">((AU12)*(1+AT13))</f>
        <v>1.5949570722083104</v>
      </c>
      <c r="AV13" s="172">
        <f t="shared" si="0"/>
        <v>4.3354100347835267E-2</v>
      </c>
      <c r="AW13" s="183">
        <f t="shared" si="2"/>
        <v>2034</v>
      </c>
      <c r="AX13" s="185"/>
    </row>
    <row r="14" spans="1:50" x14ac:dyDescent="0.3">
      <c r="A14" s="83" t="s">
        <v>338</v>
      </c>
      <c r="B14" s="83">
        <v>79.099999999999994</v>
      </c>
      <c r="C14" s="171">
        <v>45717</v>
      </c>
      <c r="D14" s="83">
        <v>2025</v>
      </c>
      <c r="E14" s="83">
        <v>3</v>
      </c>
      <c r="F14" s="83" t="s">
        <v>373</v>
      </c>
      <c r="H14" s="84">
        <v>2035</v>
      </c>
      <c r="I14" s="173">
        <v>0.03</v>
      </c>
      <c r="J14" s="173">
        <v>0.02</v>
      </c>
      <c r="K14" s="175">
        <f t="shared" si="3"/>
        <v>5.4604639809799842</v>
      </c>
      <c r="L14" s="173">
        <v>8.5000000000000006E-2</v>
      </c>
      <c r="N14" s="171">
        <v>44942</v>
      </c>
      <c r="O14" s="175">
        <v>84.66</v>
      </c>
      <c r="P14" s="83">
        <v>2023</v>
      </c>
      <c r="Q14" s="83">
        <v>1</v>
      </c>
      <c r="R14" s="83" t="s">
        <v>138</v>
      </c>
      <c r="T14" s="83">
        <v>2022</v>
      </c>
      <c r="U14" s="83" t="s">
        <v>409</v>
      </c>
      <c r="V14" s="84">
        <v>592</v>
      </c>
      <c r="W14" s="85">
        <v>0.99</v>
      </c>
      <c r="X14" s="86">
        <v>2.3988</v>
      </c>
      <c r="Y14" s="86">
        <v>0.14879999999999999</v>
      </c>
      <c r="Z14" s="85">
        <v>0.35</v>
      </c>
      <c r="AA14" s="86">
        <v>0.2167</v>
      </c>
      <c r="AB14" s="85">
        <v>0.45</v>
      </c>
      <c r="AC14" s="87">
        <v>0.36890000000000001</v>
      </c>
      <c r="AD14" s="86">
        <v>0.34989999999999999</v>
      </c>
      <c r="AE14" s="86">
        <v>0.60119999999999996</v>
      </c>
      <c r="AG14" s="171">
        <v>40026</v>
      </c>
      <c r="AH14" s="177">
        <v>987</v>
      </c>
      <c r="AI14" s="181">
        <v>3.5200000000000002E-2</v>
      </c>
      <c r="AJ14" s="177"/>
      <c r="AK14" s="85">
        <v>50.95</v>
      </c>
      <c r="AL14" s="85"/>
      <c r="AM14" s="181">
        <v>0.04</v>
      </c>
      <c r="AN14" s="86"/>
      <c r="AO14" s="179">
        <v>2009</v>
      </c>
      <c r="AQ14" s="83">
        <f t="shared" ref="AQ14:AQ45" si="6">AQ13+1</f>
        <v>12</v>
      </c>
      <c r="AR14" s="120"/>
      <c r="AS14" s="120"/>
      <c r="AT14" s="173">
        <f t="shared" si="4"/>
        <v>4.7905992904401451E-2</v>
      </c>
      <c r="AU14" s="175">
        <f t="shared" si="5"/>
        <v>1.6713650743923467</v>
      </c>
      <c r="AV14" s="173">
        <f t="shared" si="0"/>
        <v>4.373266834043954E-2</v>
      </c>
      <c r="AW14" s="184">
        <f t="shared" si="2"/>
        <v>2035</v>
      </c>
      <c r="AX14" s="186"/>
    </row>
    <row r="15" spans="1:50" x14ac:dyDescent="0.3">
      <c r="A15" s="126" t="s">
        <v>337</v>
      </c>
      <c r="B15" s="126">
        <v>78.67</v>
      </c>
      <c r="C15" s="170">
        <v>45748</v>
      </c>
      <c r="D15" s="126">
        <v>2025</v>
      </c>
      <c r="E15" s="126">
        <v>4</v>
      </c>
      <c r="F15" s="126" t="s">
        <v>374</v>
      </c>
      <c r="H15" s="127">
        <v>2036</v>
      </c>
      <c r="I15" s="172">
        <v>0.03</v>
      </c>
      <c r="J15" s="172">
        <v>0.02</v>
      </c>
      <c r="K15" s="174">
        <f t="shared" si="3"/>
        <v>5.5139979415778271</v>
      </c>
      <c r="L15" s="172">
        <v>8.5000000000000006E-2</v>
      </c>
      <c r="N15" s="170">
        <v>44943</v>
      </c>
      <c r="O15" s="174">
        <v>86.09</v>
      </c>
      <c r="P15" s="126">
        <v>2023</v>
      </c>
      <c r="Q15" s="126">
        <v>1</v>
      </c>
      <c r="R15" s="126" t="s">
        <v>138</v>
      </c>
      <c r="T15" s="126">
        <v>2022</v>
      </c>
      <c r="U15" s="126" t="s">
        <v>410</v>
      </c>
      <c r="V15" s="127">
        <v>454</v>
      </c>
      <c r="W15" s="128">
        <v>1.1100000000000001</v>
      </c>
      <c r="X15" s="129">
        <v>0.25280000000000002</v>
      </c>
      <c r="Y15" s="129">
        <v>0.1767</v>
      </c>
      <c r="Z15" s="128">
        <v>0.93</v>
      </c>
      <c r="AA15" s="129">
        <v>6.8199999999999997E-2</v>
      </c>
      <c r="AB15" s="128">
        <v>1</v>
      </c>
      <c r="AC15" s="130">
        <v>0.3281</v>
      </c>
      <c r="AD15" s="129">
        <v>0.29870000000000002</v>
      </c>
      <c r="AE15" s="129">
        <v>0.2787</v>
      </c>
      <c r="AG15" s="170">
        <v>40057</v>
      </c>
      <c r="AH15" s="176">
        <v>1021</v>
      </c>
      <c r="AI15" s="180">
        <v>3.4000000000000002E-2</v>
      </c>
      <c r="AJ15" s="176"/>
      <c r="AK15" s="128">
        <v>50.95</v>
      </c>
      <c r="AL15" s="128"/>
      <c r="AM15" s="180">
        <v>0.04</v>
      </c>
      <c r="AN15" s="129"/>
      <c r="AO15" s="178">
        <v>2009</v>
      </c>
      <c r="AQ15" s="126">
        <f t="shared" si="6"/>
        <v>13</v>
      </c>
      <c r="AR15" s="120"/>
      <c r="AS15" s="120"/>
      <c r="AT15" s="172">
        <f t="shared" si="4"/>
        <v>4.7905992904401451E-2</v>
      </c>
      <c r="AU15" s="174">
        <f t="shared" si="5"/>
        <v>1.751433477786851</v>
      </c>
      <c r="AV15" s="172">
        <f t="shared" si="0"/>
        <v>4.4053102387473286E-2</v>
      </c>
      <c r="AW15" s="183">
        <f t="shared" si="2"/>
        <v>2036</v>
      </c>
      <c r="AX15" s="185"/>
    </row>
    <row r="16" spans="1:50" x14ac:dyDescent="0.3">
      <c r="A16" s="83" t="s">
        <v>336</v>
      </c>
      <c r="B16" s="83">
        <v>78.260000000000005</v>
      </c>
      <c r="C16" s="171">
        <v>45778</v>
      </c>
      <c r="D16" s="83">
        <v>2025</v>
      </c>
      <c r="E16" s="83">
        <v>5</v>
      </c>
      <c r="F16" s="83" t="s">
        <v>374</v>
      </c>
      <c r="H16" s="84">
        <v>2037</v>
      </c>
      <c r="I16" s="173">
        <v>0.03</v>
      </c>
      <c r="J16" s="173">
        <v>0.02</v>
      </c>
      <c r="K16" s="175">
        <f t="shared" si="3"/>
        <v>5.5680567449266292</v>
      </c>
      <c r="L16" s="173">
        <v>8.5000000000000006E-2</v>
      </c>
      <c r="N16" s="171">
        <v>44944</v>
      </c>
      <c r="O16" s="175">
        <v>85.25</v>
      </c>
      <c r="P16" s="83">
        <v>2023</v>
      </c>
      <c r="Q16" s="83">
        <v>1</v>
      </c>
      <c r="R16" s="83" t="s">
        <v>138</v>
      </c>
      <c r="T16" s="83">
        <v>2022</v>
      </c>
      <c r="U16" s="83" t="s">
        <v>411</v>
      </c>
      <c r="V16" s="84">
        <v>961</v>
      </c>
      <c r="W16" s="85">
        <v>1.0900000000000001</v>
      </c>
      <c r="X16" s="86">
        <v>0.2326</v>
      </c>
      <c r="Y16" s="86">
        <v>0.16400000000000001</v>
      </c>
      <c r="Z16" s="85">
        <v>0.93</v>
      </c>
      <c r="AA16" s="86">
        <v>6.59E-2</v>
      </c>
      <c r="AB16" s="85">
        <v>1</v>
      </c>
      <c r="AC16" s="87">
        <v>0.38219999999999998</v>
      </c>
      <c r="AD16" s="86">
        <v>0.35510000000000003</v>
      </c>
      <c r="AE16" s="86">
        <v>0.17730000000000001</v>
      </c>
      <c r="AG16" s="171">
        <v>40087</v>
      </c>
      <c r="AH16" s="177">
        <v>1057</v>
      </c>
      <c r="AI16" s="181">
        <v>3.3000000000000002E-2</v>
      </c>
      <c r="AJ16" s="177"/>
      <c r="AK16" s="85">
        <v>48.52</v>
      </c>
      <c r="AL16" s="85"/>
      <c r="AM16" s="181">
        <v>0.04</v>
      </c>
      <c r="AN16" s="86"/>
      <c r="AO16" s="179">
        <v>2009</v>
      </c>
      <c r="AQ16" s="83">
        <f t="shared" si="6"/>
        <v>14</v>
      </c>
      <c r="AR16" s="120"/>
      <c r="AS16" s="120"/>
      <c r="AT16" s="173">
        <f t="shared" si="4"/>
        <v>4.7905992904401451E-2</v>
      </c>
      <c r="AU16" s="175">
        <f t="shared" si="5"/>
        <v>1.8353376375462391</v>
      </c>
      <c r="AV16" s="173">
        <f t="shared" si="0"/>
        <v>4.4327838439990996E-2</v>
      </c>
      <c r="AW16" s="184">
        <f t="shared" si="2"/>
        <v>2037</v>
      </c>
      <c r="AX16" s="186"/>
    </row>
    <row r="17" spans="1:50" x14ac:dyDescent="0.3">
      <c r="A17" s="126" t="s">
        <v>335</v>
      </c>
      <c r="B17" s="126">
        <v>77.900000000000006</v>
      </c>
      <c r="C17" s="170">
        <v>45809</v>
      </c>
      <c r="D17" s="126">
        <v>2025</v>
      </c>
      <c r="E17" s="126">
        <v>6</v>
      </c>
      <c r="F17" s="126" t="s">
        <v>374</v>
      </c>
      <c r="H17" s="127">
        <v>2038</v>
      </c>
      <c r="I17" s="172">
        <v>0.03</v>
      </c>
      <c r="J17" s="172">
        <v>0.02</v>
      </c>
      <c r="K17" s="174">
        <f t="shared" si="3"/>
        <v>5.6226455365435566</v>
      </c>
      <c r="L17" s="172">
        <v>8.5000000000000006E-2</v>
      </c>
      <c r="N17" s="170">
        <v>44945</v>
      </c>
      <c r="O17" s="174">
        <v>86.31</v>
      </c>
      <c r="P17" s="126">
        <v>2023</v>
      </c>
      <c r="Q17" s="126">
        <v>1</v>
      </c>
      <c r="R17" s="126" t="s">
        <v>138</v>
      </c>
      <c r="T17" s="126">
        <v>2022</v>
      </c>
      <c r="U17" s="126" t="s">
        <v>412</v>
      </c>
      <c r="V17" s="127">
        <v>54</v>
      </c>
      <c r="W17" s="128">
        <v>1.02</v>
      </c>
      <c r="X17" s="129">
        <v>0.97829999999999995</v>
      </c>
      <c r="Y17" s="129">
        <v>0.1323</v>
      </c>
      <c r="Z17" s="128">
        <v>0.59</v>
      </c>
      <c r="AA17" s="129">
        <v>2.63E-2</v>
      </c>
      <c r="AB17" s="128">
        <v>0.61</v>
      </c>
      <c r="AC17" s="130">
        <v>0.33379999999999999</v>
      </c>
      <c r="AD17" s="129">
        <v>0.26279999999999998</v>
      </c>
      <c r="AE17" s="129">
        <v>0.2369</v>
      </c>
      <c r="AG17" s="170">
        <v>40118</v>
      </c>
      <c r="AH17" s="176">
        <v>1036</v>
      </c>
      <c r="AI17" s="180">
        <v>3.39E-2</v>
      </c>
      <c r="AJ17" s="176"/>
      <c r="AK17" s="128">
        <v>48.52</v>
      </c>
      <c r="AL17" s="128"/>
      <c r="AM17" s="180">
        <v>0.04</v>
      </c>
      <c r="AN17" s="129"/>
      <c r="AO17" s="178">
        <v>2009</v>
      </c>
      <c r="AQ17" s="126">
        <f t="shared" si="6"/>
        <v>15</v>
      </c>
      <c r="AR17" s="120"/>
      <c r="AS17" s="120"/>
      <c r="AT17" s="172">
        <f t="shared" si="4"/>
        <v>4.7905992904401451E-2</v>
      </c>
      <c r="AU17" s="174">
        <f t="shared" si="5"/>
        <v>1.9232613093877102</v>
      </c>
      <c r="AV17" s="172">
        <f t="shared" si="0"/>
        <v>4.4566001496839647E-2</v>
      </c>
      <c r="AW17" s="183">
        <f t="shared" si="2"/>
        <v>2038</v>
      </c>
      <c r="AX17" s="185"/>
    </row>
    <row r="18" spans="1:50" x14ac:dyDescent="0.3">
      <c r="A18" s="83" t="s">
        <v>334</v>
      </c>
      <c r="B18" s="83">
        <v>77.53</v>
      </c>
      <c r="C18" s="171">
        <v>45839</v>
      </c>
      <c r="D18" s="83">
        <v>2025</v>
      </c>
      <c r="E18" s="83">
        <v>7</v>
      </c>
      <c r="F18" s="83" t="s">
        <v>375</v>
      </c>
      <c r="H18" s="84">
        <v>2039</v>
      </c>
      <c r="I18" s="173">
        <v>0.03</v>
      </c>
      <c r="J18" s="173">
        <v>0.02</v>
      </c>
      <c r="K18" s="175">
        <f t="shared" si="3"/>
        <v>5.6777695123920227</v>
      </c>
      <c r="L18" s="173">
        <v>8.5000000000000006E-2</v>
      </c>
      <c r="N18" s="171">
        <v>44946</v>
      </c>
      <c r="O18" s="175">
        <v>87.68</v>
      </c>
      <c r="P18" s="83">
        <v>2023</v>
      </c>
      <c r="Q18" s="83">
        <v>1</v>
      </c>
      <c r="R18" s="83" t="s">
        <v>138</v>
      </c>
      <c r="T18" s="83">
        <v>2022</v>
      </c>
      <c r="U18" s="83" t="s">
        <v>413</v>
      </c>
      <c r="V18" s="84">
        <v>879</v>
      </c>
      <c r="W18" s="85">
        <v>1.1399999999999999</v>
      </c>
      <c r="X18" s="86">
        <v>0.37080000000000002</v>
      </c>
      <c r="Y18" s="86">
        <v>0.15720000000000001</v>
      </c>
      <c r="Z18" s="85">
        <v>0.89</v>
      </c>
      <c r="AA18" s="86">
        <v>9.8000000000000004E-2</v>
      </c>
      <c r="AB18" s="85">
        <v>0.99</v>
      </c>
      <c r="AC18" s="87">
        <v>0.34039999999999998</v>
      </c>
      <c r="AD18" s="86">
        <v>0.32650000000000001</v>
      </c>
      <c r="AE18" s="86">
        <v>0.40600000000000003</v>
      </c>
      <c r="AG18" s="171">
        <v>40148</v>
      </c>
      <c r="AH18" s="177">
        <v>1096</v>
      </c>
      <c r="AI18" s="181">
        <v>3.2399999999999998E-2</v>
      </c>
      <c r="AJ18" s="177"/>
      <c r="AK18" s="85">
        <v>48.52</v>
      </c>
      <c r="AL18" s="85"/>
      <c r="AM18" s="181">
        <v>0.04</v>
      </c>
      <c r="AN18" s="86"/>
      <c r="AO18" s="179">
        <v>2009</v>
      </c>
      <c r="AQ18" s="83">
        <f t="shared" si="6"/>
        <v>16</v>
      </c>
      <c r="AR18" s="120"/>
      <c r="AS18" s="120"/>
      <c r="AT18" s="173">
        <f t="shared" si="4"/>
        <v>4.7905992904401451E-2</v>
      </c>
      <c r="AU18" s="175">
        <f t="shared" si="5"/>
        <v>2.0153970520285478</v>
      </c>
      <c r="AV18" s="173">
        <f t="shared" si="0"/>
        <v>4.4774438725627252E-2</v>
      </c>
      <c r="AW18" s="184">
        <f t="shared" si="2"/>
        <v>2039</v>
      </c>
      <c r="AX18" s="186"/>
    </row>
    <row r="19" spans="1:50" x14ac:dyDescent="0.3">
      <c r="A19" s="126" t="s">
        <v>333</v>
      </c>
      <c r="B19" s="126">
        <v>77.17</v>
      </c>
      <c r="C19" s="170">
        <v>45870</v>
      </c>
      <c r="D19" s="126">
        <v>2025</v>
      </c>
      <c r="E19" s="126">
        <v>8</v>
      </c>
      <c r="F19" s="126" t="s">
        <v>375</v>
      </c>
      <c r="H19" s="127">
        <v>2040</v>
      </c>
      <c r="I19" s="172">
        <v>0.03</v>
      </c>
      <c r="J19" s="172">
        <v>0.02</v>
      </c>
      <c r="K19" s="174">
        <f t="shared" si="3"/>
        <v>5.7334339193762576</v>
      </c>
      <c r="L19" s="172">
        <v>8.5000000000000006E-2</v>
      </c>
      <c r="N19" s="170">
        <v>44949</v>
      </c>
      <c r="O19" s="174">
        <v>88.16</v>
      </c>
      <c r="P19" s="126">
        <v>2023</v>
      </c>
      <c r="Q19" s="126">
        <v>1</v>
      </c>
      <c r="R19" s="126" t="s">
        <v>138</v>
      </c>
      <c r="T19" s="126">
        <v>2022</v>
      </c>
      <c r="U19" s="126" t="s">
        <v>414</v>
      </c>
      <c r="V19" s="127">
        <v>68</v>
      </c>
      <c r="W19" s="128">
        <v>1.2</v>
      </c>
      <c r="X19" s="129">
        <v>0.52180000000000004</v>
      </c>
      <c r="Y19" s="129">
        <v>0.21229999999999999</v>
      </c>
      <c r="Z19" s="128">
        <v>0.86</v>
      </c>
      <c r="AA19" s="129">
        <v>8.8700000000000001E-2</v>
      </c>
      <c r="AB19" s="128">
        <v>0.94</v>
      </c>
      <c r="AC19" s="130">
        <v>0.2465</v>
      </c>
      <c r="AD19" s="129">
        <v>0.2492</v>
      </c>
      <c r="AE19" s="129">
        <v>0.20080000000000001</v>
      </c>
      <c r="AG19" s="170">
        <v>40179</v>
      </c>
      <c r="AH19" s="176">
        <v>1115</v>
      </c>
      <c r="AI19" s="180">
        <v>3.8399999999999997E-2</v>
      </c>
      <c r="AJ19" s="176"/>
      <c r="AK19" s="128">
        <v>40.380000000000003</v>
      </c>
      <c r="AL19" s="128"/>
      <c r="AM19" s="180">
        <v>7.2099999999999997E-2</v>
      </c>
      <c r="AN19" s="129"/>
      <c r="AO19" s="178">
        <v>2010</v>
      </c>
      <c r="AQ19" s="126">
        <f t="shared" si="6"/>
        <v>17</v>
      </c>
      <c r="AR19" s="120"/>
      <c r="AS19" s="120"/>
      <c r="AT19" s="172">
        <f t="shared" si="4"/>
        <v>4.7905992904401451E-2</v>
      </c>
      <c r="AU19" s="174">
        <f t="shared" si="5"/>
        <v>2.1119466489025789</v>
      </c>
      <c r="AV19" s="172">
        <f t="shared" si="0"/>
        <v>4.4958388467686516E-2</v>
      </c>
      <c r="AW19" s="183">
        <f t="shared" si="2"/>
        <v>2040</v>
      </c>
      <c r="AX19" s="185"/>
    </row>
    <row r="20" spans="1:50" x14ac:dyDescent="0.3">
      <c r="A20" s="83" t="s">
        <v>332</v>
      </c>
      <c r="B20" s="83">
        <v>76.83</v>
      </c>
      <c r="C20" s="171">
        <v>45901</v>
      </c>
      <c r="D20" s="83">
        <v>2025</v>
      </c>
      <c r="E20" s="83">
        <v>9</v>
      </c>
      <c r="F20" s="83" t="s">
        <v>375</v>
      </c>
      <c r="H20" s="84">
        <v>2041</v>
      </c>
      <c r="I20" s="173">
        <v>0.03</v>
      </c>
      <c r="J20" s="173">
        <v>0.02</v>
      </c>
      <c r="K20" s="175">
        <f t="shared" si="3"/>
        <v>5.7896440558407303</v>
      </c>
      <c r="L20" s="173">
        <v>8.5000000000000006E-2</v>
      </c>
      <c r="N20" s="171">
        <v>44950</v>
      </c>
      <c r="O20" s="175">
        <v>86.25</v>
      </c>
      <c r="P20" s="83">
        <v>2023</v>
      </c>
      <c r="Q20" s="83">
        <v>1</v>
      </c>
      <c r="R20" s="83" t="s">
        <v>138</v>
      </c>
      <c r="T20" s="83">
        <v>2022</v>
      </c>
      <c r="U20" s="83" t="s">
        <v>415</v>
      </c>
      <c r="V20" s="84">
        <v>922</v>
      </c>
      <c r="W20" s="85">
        <v>1.1100000000000001</v>
      </c>
      <c r="X20" s="86">
        <v>0.21149999999999999</v>
      </c>
      <c r="Y20" s="86">
        <v>0.1593</v>
      </c>
      <c r="Z20" s="85">
        <v>0.95</v>
      </c>
      <c r="AA20" s="86">
        <v>6.5100000000000005E-2</v>
      </c>
      <c r="AB20" s="85">
        <v>1.02</v>
      </c>
      <c r="AC20" s="87">
        <v>0.35770000000000002</v>
      </c>
      <c r="AD20" s="86">
        <v>0.34150000000000003</v>
      </c>
      <c r="AE20" s="86">
        <v>0.2341</v>
      </c>
      <c r="AG20" s="171">
        <v>40210</v>
      </c>
      <c r="AH20" s="177">
        <v>1074</v>
      </c>
      <c r="AI20" s="181">
        <v>3.5799999999999998E-2</v>
      </c>
      <c r="AJ20" s="177"/>
      <c r="AK20" s="85">
        <v>40.380000000000003</v>
      </c>
      <c r="AL20" s="85"/>
      <c r="AM20" s="181">
        <v>7.2099999999999997E-2</v>
      </c>
      <c r="AN20" s="86"/>
      <c r="AO20" s="179">
        <v>2010</v>
      </c>
      <c r="AQ20" s="83">
        <f t="shared" si="6"/>
        <v>18</v>
      </c>
      <c r="AR20" s="120"/>
      <c r="AS20" s="120"/>
      <c r="AT20" s="173">
        <f t="shared" si="4"/>
        <v>4.7905992904401451E-2</v>
      </c>
      <c r="AU20" s="175">
        <f t="shared" si="5"/>
        <v>2.2131215500793804</v>
      </c>
      <c r="AV20" s="173">
        <f t="shared" si="0"/>
        <v>4.5121926538745916E-2</v>
      </c>
      <c r="AW20" s="184">
        <f t="shared" si="2"/>
        <v>2041</v>
      </c>
      <c r="AX20" s="186"/>
    </row>
    <row r="21" spans="1:50" x14ac:dyDescent="0.3">
      <c r="A21" s="126" t="s">
        <v>331</v>
      </c>
      <c r="B21" s="126">
        <v>76.510000000000005</v>
      </c>
      <c r="C21" s="170">
        <v>45931</v>
      </c>
      <c r="D21" s="126">
        <v>2025</v>
      </c>
      <c r="E21" s="126">
        <v>10</v>
      </c>
      <c r="F21" s="126" t="s">
        <v>376</v>
      </c>
      <c r="H21" s="127">
        <v>2042</v>
      </c>
      <c r="I21" s="172">
        <v>0.03</v>
      </c>
      <c r="J21" s="172">
        <v>0.02</v>
      </c>
      <c r="K21" s="174">
        <f t="shared" si="3"/>
        <v>5.8464052720744633</v>
      </c>
      <c r="L21" s="172">
        <v>8.5000000000000006E-2</v>
      </c>
      <c r="N21" s="170">
        <v>44951</v>
      </c>
      <c r="O21" s="174">
        <v>86.19</v>
      </c>
      <c r="P21" s="126">
        <v>2023</v>
      </c>
      <c r="Q21" s="126">
        <v>1</v>
      </c>
      <c r="R21" s="126" t="s">
        <v>138</v>
      </c>
      <c r="T21" s="126">
        <v>2022</v>
      </c>
      <c r="U21" s="126" t="s">
        <v>416</v>
      </c>
      <c r="V21" s="127">
        <v>212</v>
      </c>
      <c r="W21" s="128">
        <v>1.21</v>
      </c>
      <c r="X21" s="129">
        <v>0.24310000000000001</v>
      </c>
      <c r="Y21" s="129">
        <v>9.5399999999999999E-2</v>
      </c>
      <c r="Z21" s="128">
        <v>1.02</v>
      </c>
      <c r="AA21" s="129">
        <v>0.24279999999999999</v>
      </c>
      <c r="AB21" s="128">
        <v>1.35</v>
      </c>
      <c r="AC21" s="130">
        <v>0.48170000000000002</v>
      </c>
      <c r="AD21" s="129">
        <v>0.58730000000000004</v>
      </c>
      <c r="AE21" s="129">
        <v>0.52529999999999999</v>
      </c>
      <c r="AG21" s="170">
        <v>40238</v>
      </c>
      <c r="AH21" s="176">
        <v>1104</v>
      </c>
      <c r="AI21" s="180">
        <v>3.61E-2</v>
      </c>
      <c r="AJ21" s="176"/>
      <c r="AK21" s="128">
        <v>40.380000000000003</v>
      </c>
      <c r="AL21" s="128"/>
      <c r="AM21" s="180">
        <v>7.2099999999999997E-2</v>
      </c>
      <c r="AN21" s="129"/>
      <c r="AO21" s="178">
        <v>2010</v>
      </c>
      <c r="AQ21" s="126">
        <f t="shared" si="6"/>
        <v>19</v>
      </c>
      <c r="AR21" s="120"/>
      <c r="AS21" s="120"/>
      <c r="AT21" s="172">
        <f>AT22</f>
        <v>4.7905992904401451E-2</v>
      </c>
      <c r="AU21" s="174">
        <f t="shared" si="5"/>
        <v>2.3191433353540609</v>
      </c>
      <c r="AV21" s="172">
        <f t="shared" si="0"/>
        <v>4.526827177055659E-2</v>
      </c>
      <c r="AW21" s="183">
        <f t="shared" si="2"/>
        <v>2042</v>
      </c>
      <c r="AX21" s="185"/>
    </row>
    <row r="22" spans="1:50" x14ac:dyDescent="0.3">
      <c r="A22" s="83" t="s">
        <v>330</v>
      </c>
      <c r="B22" s="83">
        <v>76.19</v>
      </c>
      <c r="C22" s="171">
        <v>45962</v>
      </c>
      <c r="D22" s="83">
        <v>2025</v>
      </c>
      <c r="E22" s="83">
        <v>11</v>
      </c>
      <c r="F22" s="83" t="s">
        <v>376</v>
      </c>
      <c r="H22" s="84">
        <v>2043</v>
      </c>
      <c r="I22" s="173">
        <v>0.03</v>
      </c>
      <c r="J22" s="173">
        <v>0.02</v>
      </c>
      <c r="K22" s="175">
        <f t="shared" si="3"/>
        <v>5.903722970820291</v>
      </c>
      <c r="L22" s="173">
        <v>8.5000000000000006E-2</v>
      </c>
      <c r="N22" s="171">
        <v>44952</v>
      </c>
      <c r="O22" s="175">
        <v>87.28</v>
      </c>
      <c r="P22" s="83">
        <v>2023</v>
      </c>
      <c r="Q22" s="83">
        <v>1</v>
      </c>
      <c r="R22" s="83" t="s">
        <v>138</v>
      </c>
      <c r="T22" s="83">
        <v>2022</v>
      </c>
      <c r="U22" s="83" t="s">
        <v>417</v>
      </c>
      <c r="V22" s="84">
        <v>1105</v>
      </c>
      <c r="W22" s="85">
        <v>1.0900000000000001</v>
      </c>
      <c r="X22" s="86">
        <v>0.16350000000000001</v>
      </c>
      <c r="Y22" s="86">
        <v>0.16619999999999999</v>
      </c>
      <c r="Z22" s="85">
        <v>0.97</v>
      </c>
      <c r="AA22" s="86">
        <v>6.6000000000000003E-2</v>
      </c>
      <c r="AB22" s="85">
        <v>1.04</v>
      </c>
      <c r="AC22" s="87">
        <v>0.35720000000000002</v>
      </c>
      <c r="AD22" s="86">
        <v>0.33789999999999998</v>
      </c>
      <c r="AE22" s="86">
        <v>9.74E-2</v>
      </c>
      <c r="AG22" s="171">
        <v>40269</v>
      </c>
      <c r="AH22" s="177">
        <v>1169</v>
      </c>
      <c r="AI22" s="181">
        <v>3.8300000000000001E-2</v>
      </c>
      <c r="AJ22" s="177"/>
      <c r="AK22" s="85">
        <v>40.340000000000003</v>
      </c>
      <c r="AL22" s="85"/>
      <c r="AM22" s="181">
        <v>7.2099999999999997E-2</v>
      </c>
      <c r="AN22" s="86"/>
      <c r="AO22" s="179">
        <v>2010</v>
      </c>
      <c r="AQ22" s="83">
        <v>20</v>
      </c>
      <c r="AR22" s="239">
        <v>4.5400000000000003E-2</v>
      </c>
      <c r="AS22" s="173">
        <f>1+AR22</f>
        <v>1.0454000000000001</v>
      </c>
      <c r="AT22" s="173">
        <f>(AS22^20/AS12^10)^(1/10)-1</f>
        <v>4.7905992904401451E-2</v>
      </c>
      <c r="AU22" s="175">
        <f t="shared" si="5"/>
        <v>2.4302441995218227</v>
      </c>
      <c r="AV22" s="173">
        <f t="shared" si="0"/>
        <v>4.5400000000000107E-2</v>
      </c>
      <c r="AW22" s="184">
        <f t="shared" si="2"/>
        <v>2043</v>
      </c>
      <c r="AX22" s="197">
        <f>AV22-AR22</f>
        <v>1.0408340855860843E-16</v>
      </c>
    </row>
    <row r="23" spans="1:50" x14ac:dyDescent="0.3">
      <c r="A23" s="126" t="s">
        <v>329</v>
      </c>
      <c r="B23" s="126">
        <v>75.87</v>
      </c>
      <c r="C23" s="170">
        <v>45992</v>
      </c>
      <c r="D23" s="126">
        <v>2025</v>
      </c>
      <c r="E23" s="126">
        <v>12</v>
      </c>
      <c r="F23" s="126" t="s">
        <v>376</v>
      </c>
      <c r="H23" s="127">
        <v>2044</v>
      </c>
      <c r="I23" s="172">
        <v>0.03</v>
      </c>
      <c r="J23" s="172">
        <v>0.02</v>
      </c>
      <c r="K23" s="174">
        <f t="shared" si="3"/>
        <v>5.9616026077891178</v>
      </c>
      <c r="L23" s="172">
        <v>8.5000000000000006E-2</v>
      </c>
      <c r="N23" s="170">
        <v>44953</v>
      </c>
      <c r="O23" s="174">
        <v>86.4</v>
      </c>
      <c r="P23" s="126">
        <v>2023</v>
      </c>
      <c r="Q23" s="126">
        <v>1</v>
      </c>
      <c r="R23" s="126" t="s">
        <v>138</v>
      </c>
      <c r="T23" s="126">
        <v>2022</v>
      </c>
      <c r="U23" s="126" t="s">
        <v>418</v>
      </c>
      <c r="V23" s="127">
        <v>333</v>
      </c>
      <c r="W23" s="128">
        <v>1.26</v>
      </c>
      <c r="X23" s="129">
        <v>0.11849999999999999</v>
      </c>
      <c r="Y23" s="129">
        <v>0.1404</v>
      </c>
      <c r="Z23" s="128">
        <v>1.1599999999999999</v>
      </c>
      <c r="AA23" s="129">
        <v>5.0299999999999997E-2</v>
      </c>
      <c r="AB23" s="128">
        <v>1.22</v>
      </c>
      <c r="AC23" s="130">
        <v>0.35460000000000003</v>
      </c>
      <c r="AD23" s="129">
        <v>0.32919999999999999</v>
      </c>
      <c r="AE23" s="129">
        <v>0.23119999999999999</v>
      </c>
      <c r="AG23" s="170">
        <v>40299</v>
      </c>
      <c r="AH23" s="176">
        <v>1187</v>
      </c>
      <c r="AI23" s="180">
        <v>3.6499999999999998E-2</v>
      </c>
      <c r="AJ23" s="176"/>
      <c r="AK23" s="128">
        <v>40.340000000000003</v>
      </c>
      <c r="AL23" s="128"/>
      <c r="AM23" s="180">
        <v>7.2099999999999997E-2</v>
      </c>
      <c r="AN23" s="129"/>
      <c r="AO23" s="178">
        <v>2010</v>
      </c>
      <c r="AQ23" s="126">
        <f t="shared" si="6"/>
        <v>21</v>
      </c>
      <c r="AR23" s="120"/>
      <c r="AS23" s="120"/>
      <c r="AT23" s="172">
        <f t="shared" ref="AT23:AT30" si="7">AT24</f>
        <v>4.2402868799912063E-2</v>
      </c>
      <c r="AU23" s="174">
        <f t="shared" ref="AU23:AU35" si="8">((AU22)*(1+AT23))</f>
        <v>2.5332935254658939</v>
      </c>
      <c r="AV23" s="172">
        <f t="shared" si="0"/>
        <v>4.525708425682784E-2</v>
      </c>
      <c r="AW23" s="183">
        <f t="shared" si="2"/>
        <v>2044</v>
      </c>
      <c r="AX23" s="185"/>
    </row>
    <row r="24" spans="1:50" x14ac:dyDescent="0.3">
      <c r="A24" s="83" t="s">
        <v>328</v>
      </c>
      <c r="B24" s="83">
        <v>75.55</v>
      </c>
      <c r="C24" s="171">
        <v>46023</v>
      </c>
      <c r="D24" s="83">
        <v>2026</v>
      </c>
      <c r="E24" s="83">
        <v>1</v>
      </c>
      <c r="F24" s="83" t="s">
        <v>568</v>
      </c>
      <c r="H24" s="84">
        <v>2045</v>
      </c>
      <c r="I24" s="173">
        <v>0.03</v>
      </c>
      <c r="J24" s="173">
        <v>0.02</v>
      </c>
      <c r="K24" s="175">
        <f t="shared" si="3"/>
        <v>6.0200496921792075</v>
      </c>
      <c r="L24" s="173">
        <v>8.5000000000000006E-2</v>
      </c>
      <c r="N24" s="171">
        <v>44956</v>
      </c>
      <c r="O24" s="175">
        <v>84.5</v>
      </c>
      <c r="P24" s="83">
        <v>2023</v>
      </c>
      <c r="Q24" s="83">
        <v>1</v>
      </c>
      <c r="R24" s="83" t="s">
        <v>138</v>
      </c>
      <c r="T24" s="83">
        <v>2022</v>
      </c>
      <c r="U24" s="83" t="s">
        <v>476</v>
      </c>
      <c r="V24" s="84">
        <v>790</v>
      </c>
      <c r="W24" s="85">
        <v>1.1200000000000001</v>
      </c>
      <c r="X24" s="86">
        <v>0.4521</v>
      </c>
      <c r="Y24" s="86">
        <v>0.14829999999999999</v>
      </c>
      <c r="Z24" s="85">
        <v>0.83</v>
      </c>
      <c r="AA24" s="86">
        <v>0.1111</v>
      </c>
      <c r="AB24" s="85">
        <v>0.94</v>
      </c>
      <c r="AC24" s="87">
        <v>0.3322</v>
      </c>
      <c r="AD24" s="86">
        <v>0.30149999999999999</v>
      </c>
      <c r="AE24" s="86">
        <v>0.27900000000000003</v>
      </c>
      <c r="AG24" s="171">
        <v>40330</v>
      </c>
      <c r="AH24" s="177">
        <v>1089</v>
      </c>
      <c r="AI24" s="181">
        <v>3.3000000000000002E-2</v>
      </c>
      <c r="AJ24" s="177"/>
      <c r="AK24" s="85">
        <v>40.340000000000003</v>
      </c>
      <c r="AL24" s="85"/>
      <c r="AM24" s="181">
        <v>7.2099999999999997E-2</v>
      </c>
      <c r="AN24" s="86"/>
      <c r="AO24" s="179">
        <v>2010</v>
      </c>
      <c r="AQ24" s="83">
        <f t="shared" si="6"/>
        <v>22</v>
      </c>
      <c r="AR24" s="120"/>
      <c r="AS24" s="120"/>
      <c r="AT24" s="173">
        <f t="shared" si="7"/>
        <v>4.2402868799912063E-2</v>
      </c>
      <c r="AU24" s="175">
        <f t="shared" si="8"/>
        <v>2.6407124384578911</v>
      </c>
      <c r="AV24" s="173">
        <f t="shared" si="0"/>
        <v>4.5127177808381047E-2</v>
      </c>
      <c r="AW24" s="184">
        <f t="shared" si="2"/>
        <v>2045</v>
      </c>
      <c r="AX24" s="186"/>
    </row>
    <row r="25" spans="1:50" x14ac:dyDescent="0.3">
      <c r="A25" s="126" t="s">
        <v>327</v>
      </c>
      <c r="B25" s="126">
        <v>75.260000000000005</v>
      </c>
      <c r="C25" s="170">
        <v>46054</v>
      </c>
      <c r="D25" s="126">
        <v>2026</v>
      </c>
      <c r="E25" s="126">
        <v>2</v>
      </c>
      <c r="F25" s="126" t="s">
        <v>568</v>
      </c>
      <c r="H25" s="127">
        <v>2046</v>
      </c>
      <c r="I25" s="172">
        <v>0.03</v>
      </c>
      <c r="J25" s="172">
        <v>0.02</v>
      </c>
      <c r="K25" s="174">
        <f t="shared" si="3"/>
        <v>6.0790697872005719</v>
      </c>
      <c r="L25" s="172">
        <v>8.5000000000000006E-2</v>
      </c>
      <c r="N25" s="170">
        <v>44957</v>
      </c>
      <c r="O25" s="174">
        <v>85.46</v>
      </c>
      <c r="P25" s="126">
        <v>2023</v>
      </c>
      <c r="Q25" s="126">
        <v>1</v>
      </c>
      <c r="R25" s="126" t="s">
        <v>138</v>
      </c>
      <c r="T25" s="126">
        <v>2022</v>
      </c>
      <c r="U25" s="126" t="s">
        <v>419</v>
      </c>
      <c r="V25" s="127">
        <v>314</v>
      </c>
      <c r="W25" s="128">
        <v>0.96</v>
      </c>
      <c r="X25" s="129">
        <v>0.55900000000000005</v>
      </c>
      <c r="Y25" s="129">
        <v>0.13389999999999999</v>
      </c>
      <c r="Z25" s="128">
        <v>0.68</v>
      </c>
      <c r="AA25" s="129">
        <v>7.6799999999999993E-2</v>
      </c>
      <c r="AB25" s="128">
        <v>0.73</v>
      </c>
      <c r="AC25" s="130">
        <v>0.31290000000000001</v>
      </c>
      <c r="AD25" s="129">
        <v>0.27350000000000002</v>
      </c>
      <c r="AE25" s="129">
        <v>0.30080000000000001</v>
      </c>
      <c r="AG25" s="170">
        <v>40360</v>
      </c>
      <c r="AH25" s="176">
        <v>1031</v>
      </c>
      <c r="AI25" s="180">
        <v>2.9600000000000001E-2</v>
      </c>
      <c r="AJ25" s="176"/>
      <c r="AK25" s="128">
        <v>42.44</v>
      </c>
      <c r="AL25" s="128"/>
      <c r="AM25" s="180">
        <v>7.2099999999999997E-2</v>
      </c>
      <c r="AN25" s="129"/>
      <c r="AO25" s="178">
        <v>2010</v>
      </c>
      <c r="AQ25" s="126">
        <f t="shared" si="6"/>
        <v>23</v>
      </c>
      <c r="AR25" s="120"/>
      <c r="AS25" s="120"/>
      <c r="AT25" s="172">
        <f t="shared" si="7"/>
        <v>4.2402868799912063E-2</v>
      </c>
      <c r="AU25" s="174">
        <f t="shared" si="8"/>
        <v>2.752686221524117</v>
      </c>
      <c r="AV25" s="172">
        <f t="shared" si="0"/>
        <v>4.5008581673071646E-2</v>
      </c>
      <c r="AW25" s="183">
        <f t="shared" si="2"/>
        <v>2046</v>
      </c>
      <c r="AX25" s="185"/>
    </row>
    <row r="26" spans="1:50" x14ac:dyDescent="0.3">
      <c r="A26" s="83" t="s">
        <v>326</v>
      </c>
      <c r="B26" s="83">
        <v>74.989999999999995</v>
      </c>
      <c r="C26" s="171">
        <v>46082</v>
      </c>
      <c r="D26" s="83">
        <v>2026</v>
      </c>
      <c r="E26" s="83">
        <v>3</v>
      </c>
      <c r="F26" s="83" t="s">
        <v>568</v>
      </c>
      <c r="H26" s="84">
        <v>2047</v>
      </c>
      <c r="I26" s="173">
        <v>0.03</v>
      </c>
      <c r="J26" s="173">
        <v>0.02</v>
      </c>
      <c r="K26" s="175">
        <f t="shared" si="3"/>
        <v>6.1386685106044991</v>
      </c>
      <c r="L26" s="173">
        <v>8.5000000000000006E-2</v>
      </c>
      <c r="N26" s="171">
        <v>44958</v>
      </c>
      <c r="O26" s="175">
        <v>82.84</v>
      </c>
      <c r="P26" s="83">
        <v>2023</v>
      </c>
      <c r="Q26" s="83">
        <v>2</v>
      </c>
      <c r="R26" s="83" t="s">
        <v>138</v>
      </c>
      <c r="T26" s="83">
        <v>2022</v>
      </c>
      <c r="U26" s="83" t="s">
        <v>477</v>
      </c>
      <c r="V26" s="84">
        <v>1267</v>
      </c>
      <c r="W26" s="85">
        <v>1.27</v>
      </c>
      <c r="X26" s="86">
        <v>0.12859999999999999</v>
      </c>
      <c r="Y26" s="86">
        <v>2.47E-2</v>
      </c>
      <c r="Z26" s="85">
        <v>1.1599999999999999</v>
      </c>
      <c r="AA26" s="86">
        <v>7.6999999999999999E-2</v>
      </c>
      <c r="AB26" s="85">
        <v>1.25</v>
      </c>
      <c r="AC26" s="87">
        <v>0.56330000000000002</v>
      </c>
      <c r="AD26" s="86">
        <v>0.51690000000000003</v>
      </c>
      <c r="AE26" s="86">
        <v>0.27350000000000002</v>
      </c>
      <c r="AG26" s="171">
        <v>40391</v>
      </c>
      <c r="AH26" s="177">
        <v>1106</v>
      </c>
      <c r="AI26" s="181">
        <v>2.9100000000000001E-2</v>
      </c>
      <c r="AJ26" s="177"/>
      <c r="AK26" s="85">
        <v>42.44</v>
      </c>
      <c r="AL26" s="85"/>
      <c r="AM26" s="181">
        <v>7.2099999999999997E-2</v>
      </c>
      <c r="AN26" s="86"/>
      <c r="AO26" s="179">
        <v>2010</v>
      </c>
      <c r="AQ26" s="83">
        <f t="shared" si="6"/>
        <v>24</v>
      </c>
      <c r="AR26" s="120"/>
      <c r="AS26" s="120"/>
      <c r="AT26" s="173">
        <f t="shared" si="7"/>
        <v>4.2402868799912063E-2</v>
      </c>
      <c r="AU26" s="175">
        <f t="shared" si="8"/>
        <v>2.8694080142227296</v>
      </c>
      <c r="AV26" s="173">
        <f t="shared" si="0"/>
        <v>4.4899880371320533E-2</v>
      </c>
      <c r="AW26" s="184">
        <f t="shared" si="2"/>
        <v>2047</v>
      </c>
      <c r="AX26" s="186"/>
    </row>
    <row r="27" spans="1:50" x14ac:dyDescent="0.3">
      <c r="A27" s="126" t="s">
        <v>325</v>
      </c>
      <c r="B27" s="126">
        <v>74.709999999999994</v>
      </c>
      <c r="C27" s="170">
        <v>46113</v>
      </c>
      <c r="D27" s="126">
        <v>2026</v>
      </c>
      <c r="E27" s="126">
        <v>4</v>
      </c>
      <c r="F27" s="126" t="s">
        <v>569</v>
      </c>
      <c r="H27" s="127">
        <v>2048</v>
      </c>
      <c r="I27" s="172">
        <v>0.03</v>
      </c>
      <c r="J27" s="172">
        <v>0.02</v>
      </c>
      <c r="K27" s="174">
        <f t="shared" si="3"/>
        <v>6.1988515352182691</v>
      </c>
      <c r="L27" s="172">
        <v>8.5000000000000006E-2</v>
      </c>
      <c r="N27" s="170">
        <v>44959</v>
      </c>
      <c r="O27" s="174">
        <v>82.17</v>
      </c>
      <c r="P27" s="126">
        <v>2023</v>
      </c>
      <c r="Q27" s="126">
        <v>2</v>
      </c>
      <c r="R27" s="126" t="s">
        <v>138</v>
      </c>
      <c r="T27" s="126">
        <v>2022</v>
      </c>
      <c r="U27" s="126" t="s">
        <v>478</v>
      </c>
      <c r="V27" s="127">
        <v>1352</v>
      </c>
      <c r="W27" s="128">
        <v>1.06</v>
      </c>
      <c r="X27" s="129">
        <v>0.15140000000000001</v>
      </c>
      <c r="Y27" s="129">
        <v>9.8000000000000004E-2</v>
      </c>
      <c r="Z27" s="128">
        <v>0.95</v>
      </c>
      <c r="AA27" s="129">
        <v>4.1000000000000002E-2</v>
      </c>
      <c r="AB27" s="128">
        <v>1</v>
      </c>
      <c r="AC27" s="130">
        <v>0.4672</v>
      </c>
      <c r="AD27" s="129">
        <v>0.44280000000000003</v>
      </c>
      <c r="AE27" s="129">
        <v>0.1331</v>
      </c>
      <c r="AG27" s="170">
        <v>40422</v>
      </c>
      <c r="AH27" s="176">
        <v>1049</v>
      </c>
      <c r="AI27" s="180">
        <v>2.47E-2</v>
      </c>
      <c r="AJ27" s="176"/>
      <c r="AK27" s="128">
        <v>42.44</v>
      </c>
      <c r="AL27" s="128"/>
      <c r="AM27" s="180">
        <v>7.2099999999999997E-2</v>
      </c>
      <c r="AN27" s="129"/>
      <c r="AO27" s="178">
        <v>2010</v>
      </c>
      <c r="AQ27" s="126">
        <f t="shared" si="6"/>
        <v>25</v>
      </c>
      <c r="AR27" s="120"/>
      <c r="AS27" s="120"/>
      <c r="AT27" s="172">
        <f t="shared" si="7"/>
        <v>4.2402868799912063E-2</v>
      </c>
      <c r="AU27" s="174">
        <f t="shared" si="8"/>
        <v>2.9910791457832322</v>
      </c>
      <c r="AV27" s="172">
        <f t="shared" si="0"/>
        <v>4.4799885160131225E-2</v>
      </c>
      <c r="AW27" s="183">
        <f t="shared" si="2"/>
        <v>2048</v>
      </c>
      <c r="AX27" s="185"/>
    </row>
    <row r="28" spans="1:50" x14ac:dyDescent="0.3">
      <c r="A28" s="83" t="s">
        <v>324</v>
      </c>
      <c r="B28" s="83">
        <v>74.45</v>
      </c>
      <c r="C28" s="171">
        <v>46143</v>
      </c>
      <c r="D28" s="83">
        <v>2026</v>
      </c>
      <c r="E28" s="83">
        <v>5</v>
      </c>
      <c r="F28" s="83" t="s">
        <v>569</v>
      </c>
      <c r="H28" s="84">
        <v>2049</v>
      </c>
      <c r="I28" s="173">
        <v>0.03</v>
      </c>
      <c r="J28" s="173">
        <v>0.02</v>
      </c>
      <c r="K28" s="175">
        <f t="shared" si="3"/>
        <v>6.2596245894851146</v>
      </c>
      <c r="L28" s="173">
        <v>8.5000000000000006E-2</v>
      </c>
      <c r="N28" s="171">
        <v>44960</v>
      </c>
      <c r="O28" s="175">
        <v>79.94</v>
      </c>
      <c r="P28" s="83">
        <v>2023</v>
      </c>
      <c r="Q28" s="83">
        <v>2</v>
      </c>
      <c r="R28" s="83" t="s">
        <v>138</v>
      </c>
      <c r="T28" s="83">
        <v>2022</v>
      </c>
      <c r="U28" s="83" t="s">
        <v>479</v>
      </c>
      <c r="V28" s="84">
        <v>251</v>
      </c>
      <c r="W28" s="85">
        <v>0.88</v>
      </c>
      <c r="X28" s="86">
        <v>0.32879999999999998</v>
      </c>
      <c r="Y28" s="86">
        <v>0.13159999999999999</v>
      </c>
      <c r="Z28" s="85">
        <v>0.7</v>
      </c>
      <c r="AA28" s="86">
        <v>0.1104</v>
      </c>
      <c r="AB28" s="85">
        <v>0.79</v>
      </c>
      <c r="AC28" s="87">
        <v>0.39610000000000001</v>
      </c>
      <c r="AD28" s="86">
        <v>0.3412</v>
      </c>
      <c r="AE28" s="86">
        <v>0.1885</v>
      </c>
      <c r="AG28" s="171">
        <v>40452</v>
      </c>
      <c r="AH28" s="177">
        <v>1141</v>
      </c>
      <c r="AI28" s="181">
        <v>2.5100000000000001E-2</v>
      </c>
      <c r="AJ28" s="177"/>
      <c r="AK28" s="85">
        <v>48.2</v>
      </c>
      <c r="AL28" s="85"/>
      <c r="AM28" s="181">
        <v>7.2099999999999997E-2</v>
      </c>
      <c r="AN28" s="86"/>
      <c r="AO28" s="179">
        <v>2010</v>
      </c>
      <c r="AQ28" s="83">
        <f t="shared" si="6"/>
        <v>26</v>
      </c>
      <c r="AR28" s="120"/>
      <c r="AS28" s="120"/>
      <c r="AT28" s="173">
        <f t="shared" si="7"/>
        <v>4.2402868799912063E-2</v>
      </c>
      <c r="AU28" s="175">
        <f t="shared" si="8"/>
        <v>3.1179094823720317</v>
      </c>
      <c r="AV28" s="173">
        <f t="shared" si="0"/>
        <v>4.4707590381816154E-2</v>
      </c>
      <c r="AW28" s="184">
        <f t="shared" si="2"/>
        <v>2049</v>
      </c>
      <c r="AX28" s="186"/>
    </row>
    <row r="29" spans="1:50" x14ac:dyDescent="0.3">
      <c r="A29" s="126" t="s">
        <v>323</v>
      </c>
      <c r="B29" s="126">
        <v>74.23</v>
      </c>
      <c r="C29" s="170">
        <v>46174</v>
      </c>
      <c r="D29" s="126">
        <v>2026</v>
      </c>
      <c r="E29" s="126">
        <v>6</v>
      </c>
      <c r="F29" s="126" t="s">
        <v>569</v>
      </c>
      <c r="H29" s="127">
        <v>2050</v>
      </c>
      <c r="I29" s="172">
        <v>0.03</v>
      </c>
      <c r="J29" s="172">
        <v>0.02</v>
      </c>
      <c r="K29" s="174">
        <f t="shared" si="3"/>
        <v>6.3209934580094789</v>
      </c>
      <c r="L29" s="172">
        <v>8.5000000000000006E-2</v>
      </c>
      <c r="N29" s="170">
        <v>44963</v>
      </c>
      <c r="O29" s="174">
        <v>80.989999999999995</v>
      </c>
      <c r="P29" s="126">
        <v>2023</v>
      </c>
      <c r="Q29" s="126">
        <v>2</v>
      </c>
      <c r="R29" s="126" t="s">
        <v>138</v>
      </c>
      <c r="T29" s="126">
        <v>2022</v>
      </c>
      <c r="U29" s="126" t="s">
        <v>420</v>
      </c>
      <c r="V29" s="127">
        <v>1045</v>
      </c>
      <c r="W29" s="128">
        <v>1.1399999999999999</v>
      </c>
      <c r="X29" s="129">
        <v>0.16689999999999999</v>
      </c>
      <c r="Y29" s="129">
        <v>0.11700000000000001</v>
      </c>
      <c r="Z29" s="128">
        <v>1.01</v>
      </c>
      <c r="AA29" s="129">
        <v>8.4500000000000006E-2</v>
      </c>
      <c r="AB29" s="128">
        <v>1.1000000000000001</v>
      </c>
      <c r="AC29" s="130">
        <v>0.38729999999999998</v>
      </c>
      <c r="AD29" s="129">
        <v>0.3725</v>
      </c>
      <c r="AE29" s="129">
        <v>0.1608</v>
      </c>
      <c r="AG29" s="170">
        <v>40483</v>
      </c>
      <c r="AH29" s="176">
        <v>1183</v>
      </c>
      <c r="AI29" s="180">
        <v>2.5999999999999999E-2</v>
      </c>
      <c r="AJ29" s="176"/>
      <c r="AK29" s="128">
        <v>48.2</v>
      </c>
      <c r="AL29" s="128"/>
      <c r="AM29" s="180">
        <v>7.2099999999999997E-2</v>
      </c>
      <c r="AN29" s="129"/>
      <c r="AO29" s="178">
        <v>2010</v>
      </c>
      <c r="AQ29" s="126">
        <f t="shared" si="6"/>
        <v>27</v>
      </c>
      <c r="AR29" s="120"/>
      <c r="AS29" s="120"/>
      <c r="AT29" s="172">
        <f t="shared" si="7"/>
        <v>4.2402868799912063E-2</v>
      </c>
      <c r="AU29" s="174">
        <f t="shared" si="8"/>
        <v>3.2501177890830548</v>
      </c>
      <c r="AV29" s="172">
        <f t="shared" si="0"/>
        <v>4.4622139523303073E-2</v>
      </c>
      <c r="AW29" s="183">
        <f t="shared" si="2"/>
        <v>2050</v>
      </c>
      <c r="AX29" s="185"/>
    </row>
    <row r="30" spans="1:50" x14ac:dyDescent="0.3">
      <c r="A30" s="83" t="s">
        <v>322</v>
      </c>
      <c r="B30" s="83">
        <v>73.98</v>
      </c>
      <c r="C30" s="171">
        <v>46204</v>
      </c>
      <c r="D30" s="83">
        <v>2026</v>
      </c>
      <c r="E30" s="83">
        <v>7</v>
      </c>
      <c r="F30" s="83" t="s">
        <v>570</v>
      </c>
      <c r="H30" s="84">
        <v>2051</v>
      </c>
      <c r="I30" s="173">
        <v>0.03</v>
      </c>
      <c r="J30" s="173">
        <v>0.02</v>
      </c>
      <c r="K30" s="175">
        <f t="shared" si="3"/>
        <v>6.3829639821076105</v>
      </c>
      <c r="L30" s="173">
        <v>8.5000000000000006E-2</v>
      </c>
      <c r="N30" s="171">
        <v>44964</v>
      </c>
      <c r="O30" s="175">
        <v>83.69</v>
      </c>
      <c r="P30" s="83">
        <v>2023</v>
      </c>
      <c r="Q30" s="83">
        <v>2</v>
      </c>
      <c r="R30" s="83" t="s">
        <v>138</v>
      </c>
      <c r="T30" s="83">
        <v>2022</v>
      </c>
      <c r="U30" s="83" t="s">
        <v>421</v>
      </c>
      <c r="V30" s="84">
        <v>134</v>
      </c>
      <c r="W30" s="85">
        <v>1.27</v>
      </c>
      <c r="X30" s="86">
        <v>0.44330000000000003</v>
      </c>
      <c r="Y30" s="86">
        <v>0.1255</v>
      </c>
      <c r="Z30" s="85">
        <v>0.95</v>
      </c>
      <c r="AA30" s="86">
        <v>0.12920000000000001</v>
      </c>
      <c r="AB30" s="85">
        <v>1.1000000000000001</v>
      </c>
      <c r="AC30" s="87">
        <v>0.39500000000000002</v>
      </c>
      <c r="AD30" s="86">
        <v>0.3463</v>
      </c>
      <c r="AE30" s="86">
        <v>0.47049999999999997</v>
      </c>
      <c r="AG30" s="171">
        <v>40513</v>
      </c>
      <c r="AH30" s="177">
        <v>1181</v>
      </c>
      <c r="AI30" s="181">
        <v>2.8000000000000001E-2</v>
      </c>
      <c r="AJ30" s="177"/>
      <c r="AK30" s="85">
        <v>48.2</v>
      </c>
      <c r="AL30" s="85"/>
      <c r="AM30" s="181">
        <v>7.2099999999999997E-2</v>
      </c>
      <c r="AN30" s="86"/>
      <c r="AO30" s="179">
        <v>2010</v>
      </c>
      <c r="AQ30" s="83">
        <f t="shared" si="6"/>
        <v>28</v>
      </c>
      <c r="AR30" s="120"/>
      <c r="AS30" s="120"/>
      <c r="AT30" s="173">
        <f t="shared" si="7"/>
        <v>4.2402868799912063E-2</v>
      </c>
      <c r="AU30" s="175">
        <f t="shared" si="8"/>
        <v>3.3879321072778037</v>
      </c>
      <c r="AV30" s="173">
        <f t="shared" si="0"/>
        <v>4.454279855589327E-2</v>
      </c>
      <c r="AW30" s="184">
        <f t="shared" si="2"/>
        <v>2051</v>
      </c>
      <c r="AX30" s="186"/>
    </row>
    <row r="31" spans="1:50" x14ac:dyDescent="0.3">
      <c r="A31" s="126" t="s">
        <v>321</v>
      </c>
      <c r="B31" s="126">
        <v>73.739999999999995</v>
      </c>
      <c r="C31" s="170">
        <v>46235</v>
      </c>
      <c r="D31" s="126">
        <v>2026</v>
      </c>
      <c r="E31" s="126">
        <v>8</v>
      </c>
      <c r="F31" s="126" t="s">
        <v>570</v>
      </c>
      <c r="H31" s="127">
        <v>2052</v>
      </c>
      <c r="I31" s="172">
        <v>0.03</v>
      </c>
      <c r="J31" s="172">
        <v>0.02</v>
      </c>
      <c r="K31" s="174">
        <f t="shared" si="3"/>
        <v>6.445542060363568</v>
      </c>
      <c r="L31" s="172">
        <v>8.5000000000000006E-2</v>
      </c>
      <c r="N31" s="170">
        <v>44965</v>
      </c>
      <c r="O31" s="174">
        <v>85.09</v>
      </c>
      <c r="P31" s="126">
        <v>2023</v>
      </c>
      <c r="Q31" s="126">
        <v>2</v>
      </c>
      <c r="R31" s="126" t="s">
        <v>138</v>
      </c>
      <c r="T31" s="126">
        <v>2022</v>
      </c>
      <c r="U31" s="126" t="s">
        <v>480</v>
      </c>
      <c r="V31" s="127">
        <v>1457</v>
      </c>
      <c r="W31" s="128">
        <v>1.3</v>
      </c>
      <c r="X31" s="129">
        <v>0.1953</v>
      </c>
      <c r="Y31" s="129">
        <v>0.12429999999999999</v>
      </c>
      <c r="Z31" s="128">
        <v>1.1299999999999999</v>
      </c>
      <c r="AA31" s="129">
        <v>0.1249</v>
      </c>
      <c r="AB31" s="128">
        <v>1.29</v>
      </c>
      <c r="AC31" s="130">
        <v>0.36159999999999998</v>
      </c>
      <c r="AD31" s="129">
        <v>0.33179999999999998</v>
      </c>
      <c r="AE31" s="129">
        <v>0.3483</v>
      </c>
      <c r="AG31" s="170">
        <v>40544</v>
      </c>
      <c r="AH31" s="176">
        <v>1258</v>
      </c>
      <c r="AI31" s="180">
        <v>3.2899999999999999E-2</v>
      </c>
      <c r="AJ31" s="176"/>
      <c r="AK31" s="128">
        <v>53.96</v>
      </c>
      <c r="AL31" s="128"/>
      <c r="AM31" s="180">
        <v>6.9500000000000006E-2</v>
      </c>
      <c r="AN31" s="129"/>
      <c r="AO31" s="178">
        <v>2011</v>
      </c>
      <c r="AQ31" s="126">
        <f t="shared" si="6"/>
        <v>29</v>
      </c>
      <c r="AR31" s="120"/>
      <c r="AS31" s="120"/>
      <c r="AT31" s="172">
        <f>AT32</f>
        <v>4.2402868799912063E-2</v>
      </c>
      <c r="AU31" s="174">
        <f t="shared" si="8"/>
        <v>3.5315901479257139</v>
      </c>
      <c r="AV31" s="172">
        <f t="shared" si="0"/>
        <v>4.446893479638292E-2</v>
      </c>
      <c r="AW31" s="183">
        <f t="shared" si="2"/>
        <v>2052</v>
      </c>
      <c r="AX31" s="185"/>
    </row>
    <row r="32" spans="1:50" x14ac:dyDescent="0.3">
      <c r="A32" s="83" t="s">
        <v>320</v>
      </c>
      <c r="B32" s="83">
        <v>73.510000000000005</v>
      </c>
      <c r="C32" s="171">
        <v>46266</v>
      </c>
      <c r="D32" s="83">
        <v>2026</v>
      </c>
      <c r="E32" s="83">
        <v>9</v>
      </c>
      <c r="F32" s="83" t="s">
        <v>570</v>
      </c>
      <c r="H32" s="84">
        <v>2053</v>
      </c>
      <c r="I32" s="173">
        <v>0.03</v>
      </c>
      <c r="J32" s="173">
        <v>0.02</v>
      </c>
      <c r="K32" s="175">
        <f t="shared" si="3"/>
        <v>6.5087336491906616</v>
      </c>
      <c r="L32" s="173">
        <v>8.5000000000000006E-2</v>
      </c>
      <c r="N32" s="171">
        <v>44966</v>
      </c>
      <c r="O32" s="175">
        <v>84.5</v>
      </c>
      <c r="P32" s="83">
        <v>2023</v>
      </c>
      <c r="Q32" s="83">
        <v>2</v>
      </c>
      <c r="R32" s="83" t="s">
        <v>138</v>
      </c>
      <c r="T32" s="83">
        <v>2022</v>
      </c>
      <c r="U32" s="83" t="s">
        <v>481</v>
      </c>
      <c r="V32" s="84">
        <v>1269</v>
      </c>
      <c r="W32" s="85">
        <v>1.03</v>
      </c>
      <c r="X32" s="86">
        <v>1.0424</v>
      </c>
      <c r="Y32" s="86">
        <v>0.1588</v>
      </c>
      <c r="Z32" s="85">
        <v>0.57999999999999996</v>
      </c>
      <c r="AA32" s="86">
        <v>0.21010000000000001</v>
      </c>
      <c r="AB32" s="85">
        <v>0.73</v>
      </c>
      <c r="AC32" s="87">
        <v>0.35039999999999999</v>
      </c>
      <c r="AD32" s="86">
        <v>0.32279999999999998</v>
      </c>
      <c r="AE32" s="86">
        <v>0.2429</v>
      </c>
      <c r="AG32" s="171">
        <v>40575</v>
      </c>
      <c r="AH32" s="177">
        <v>1286</v>
      </c>
      <c r="AI32" s="181">
        <v>3.3799999999999997E-2</v>
      </c>
      <c r="AJ32" s="177"/>
      <c r="AK32" s="85">
        <v>53.96</v>
      </c>
      <c r="AL32" s="85"/>
      <c r="AM32" s="181">
        <v>6.9500000000000006E-2</v>
      </c>
      <c r="AN32" s="86"/>
      <c r="AO32" s="179">
        <v>2011</v>
      </c>
      <c r="AQ32" s="83">
        <v>30</v>
      </c>
      <c r="AR32" s="239">
        <v>4.4400000000000002E-2</v>
      </c>
      <c r="AS32" s="173">
        <f>1+AR32</f>
        <v>1.0444</v>
      </c>
      <c r="AT32" s="173">
        <f>(AS32^30/AS22^20)^(1/10)-1</f>
        <v>4.2402868799912063E-2</v>
      </c>
      <c r="AU32" s="175">
        <f t="shared" si="8"/>
        <v>3.6813397016232701</v>
      </c>
      <c r="AV32" s="173">
        <f t="shared" si="0"/>
        <v>4.4399999999999995E-2</v>
      </c>
      <c r="AW32" s="184">
        <f t="shared" si="2"/>
        <v>2053</v>
      </c>
      <c r="AX32" s="197">
        <f>AV32-AR32</f>
        <v>0</v>
      </c>
    </row>
    <row r="33" spans="1:50" x14ac:dyDescent="0.3">
      <c r="A33" s="126" t="s">
        <v>319</v>
      </c>
      <c r="B33" s="126">
        <v>73.3</v>
      </c>
      <c r="C33" s="170">
        <v>46296</v>
      </c>
      <c r="D33" s="126">
        <v>2026</v>
      </c>
      <c r="E33" s="126">
        <v>10</v>
      </c>
      <c r="F33" s="126" t="s">
        <v>571</v>
      </c>
      <c r="H33" s="127">
        <v>2054</v>
      </c>
      <c r="I33" s="172">
        <v>0.03</v>
      </c>
      <c r="J33" s="172">
        <v>0.02</v>
      </c>
      <c r="K33" s="174">
        <f t="shared" si="3"/>
        <v>6.5725447633984135</v>
      </c>
      <c r="L33" s="172">
        <v>8.5000000000000006E-2</v>
      </c>
      <c r="N33" s="170">
        <v>44967</v>
      </c>
      <c r="O33" s="174">
        <v>86.39</v>
      </c>
      <c r="P33" s="126">
        <v>2023</v>
      </c>
      <c r="Q33" s="126">
        <v>2</v>
      </c>
      <c r="R33" s="126" t="s">
        <v>138</v>
      </c>
      <c r="T33" s="126">
        <v>2022</v>
      </c>
      <c r="U33" s="126" t="s">
        <v>422</v>
      </c>
      <c r="V33" s="127">
        <v>752</v>
      </c>
      <c r="W33" s="128">
        <v>1.2</v>
      </c>
      <c r="X33" s="129">
        <v>0.26400000000000001</v>
      </c>
      <c r="Y33" s="129">
        <v>8.6599999999999996E-2</v>
      </c>
      <c r="Z33" s="128">
        <v>1</v>
      </c>
      <c r="AA33" s="129">
        <v>9.0399999999999994E-2</v>
      </c>
      <c r="AB33" s="128">
        <v>1.1000000000000001</v>
      </c>
      <c r="AC33" s="130">
        <v>0.46089999999999998</v>
      </c>
      <c r="AD33" s="129">
        <v>0.42670000000000002</v>
      </c>
      <c r="AE33" s="129">
        <v>0.23</v>
      </c>
      <c r="AG33" s="170">
        <v>40603</v>
      </c>
      <c r="AH33" s="176">
        <v>1327</v>
      </c>
      <c r="AI33" s="180">
        <v>3.4200000000000001E-2</v>
      </c>
      <c r="AJ33" s="176"/>
      <c r="AK33" s="128">
        <v>53.96</v>
      </c>
      <c r="AL33" s="128"/>
      <c r="AM33" s="180">
        <v>6.9500000000000006E-2</v>
      </c>
      <c r="AN33" s="129"/>
      <c r="AO33" s="178">
        <v>2011</v>
      </c>
      <c r="AQ33" s="126">
        <f t="shared" si="6"/>
        <v>31</v>
      </c>
      <c r="AR33" s="120"/>
      <c r="AS33" s="120"/>
      <c r="AT33" s="172">
        <f>AT32</f>
        <v>4.2402868799912063E-2</v>
      </c>
      <c r="AU33" s="174">
        <f t="shared" si="8"/>
        <v>3.8374390659991091</v>
      </c>
      <c r="AV33" s="172">
        <f>AV32</f>
        <v>4.4399999999999995E-2</v>
      </c>
      <c r="AW33" s="183">
        <f>AW32+1</f>
        <v>2054</v>
      </c>
      <c r="AX33" s="185"/>
    </row>
    <row r="34" spans="1:50" x14ac:dyDescent="0.3">
      <c r="A34" s="83" t="s">
        <v>318</v>
      </c>
      <c r="B34" s="83">
        <v>73.08</v>
      </c>
      <c r="C34" s="171">
        <v>46327</v>
      </c>
      <c r="D34" s="83">
        <v>2026</v>
      </c>
      <c r="E34" s="83">
        <v>11</v>
      </c>
      <c r="F34" s="83" t="s">
        <v>571</v>
      </c>
      <c r="H34" s="84">
        <v>2055</v>
      </c>
      <c r="I34" s="173">
        <v>0.03</v>
      </c>
      <c r="J34" s="173">
        <v>0.02</v>
      </c>
      <c r="K34" s="175">
        <f t="shared" si="3"/>
        <v>6.6369814767650652</v>
      </c>
      <c r="L34" s="173">
        <v>8.5000000000000006E-2</v>
      </c>
      <c r="N34" s="171">
        <v>44970</v>
      </c>
      <c r="O34" s="175">
        <v>86.61</v>
      </c>
      <c r="P34" s="83">
        <v>2023</v>
      </c>
      <c r="Q34" s="83">
        <v>2</v>
      </c>
      <c r="R34" s="83" t="s">
        <v>138</v>
      </c>
      <c r="T34" s="83">
        <v>2022</v>
      </c>
      <c r="U34" s="83" t="s">
        <v>423</v>
      </c>
      <c r="V34" s="84">
        <v>370</v>
      </c>
      <c r="W34" s="85">
        <v>1.0900000000000001</v>
      </c>
      <c r="X34" s="86">
        <v>0.37409999999999999</v>
      </c>
      <c r="Y34" s="86">
        <v>0.1268</v>
      </c>
      <c r="Z34" s="85">
        <v>0.85</v>
      </c>
      <c r="AA34" s="86">
        <v>5.2999999999999999E-2</v>
      </c>
      <c r="AB34" s="85">
        <v>0.9</v>
      </c>
      <c r="AC34" s="87">
        <v>0.40350000000000003</v>
      </c>
      <c r="AD34" s="86">
        <v>0.38240000000000002</v>
      </c>
      <c r="AE34" s="86">
        <v>0.25590000000000002</v>
      </c>
      <c r="AG34" s="171">
        <v>40634</v>
      </c>
      <c r="AH34" s="177">
        <v>1326</v>
      </c>
      <c r="AI34" s="181">
        <v>3.4700000000000002E-2</v>
      </c>
      <c r="AJ34" s="177"/>
      <c r="AK34" s="85">
        <v>58.54</v>
      </c>
      <c r="AL34" s="85"/>
      <c r="AM34" s="181">
        <v>6.9500000000000006E-2</v>
      </c>
      <c r="AN34" s="86"/>
      <c r="AO34" s="179">
        <v>2011</v>
      </c>
      <c r="AQ34" s="83">
        <f t="shared" si="6"/>
        <v>32</v>
      </c>
      <c r="AR34" s="120"/>
      <c r="AS34" s="120"/>
      <c r="AT34" s="173">
        <f t="shared" ref="AT34:AT45" si="9">AT33</f>
        <v>4.2402868799912063E-2</v>
      </c>
      <c r="AU34" s="175">
        <f t="shared" si="8"/>
        <v>4.0001574912423266</v>
      </c>
      <c r="AV34" s="173">
        <f>AU34^(1/$AQ34)-1</f>
        <v>4.4275067277717683E-2</v>
      </c>
      <c r="AW34" s="184">
        <f>AW33+1</f>
        <v>2055</v>
      </c>
      <c r="AX34" s="186"/>
    </row>
    <row r="35" spans="1:50" x14ac:dyDescent="0.3">
      <c r="A35" s="126" t="s">
        <v>317</v>
      </c>
      <c r="B35" s="126">
        <v>72.88</v>
      </c>
      <c r="C35" s="170">
        <v>46357</v>
      </c>
      <c r="D35" s="126">
        <v>2026</v>
      </c>
      <c r="E35" s="126">
        <v>12</v>
      </c>
      <c r="F35" s="126" t="s">
        <v>571</v>
      </c>
      <c r="H35" s="127">
        <v>2056</v>
      </c>
      <c r="I35" s="172">
        <v>0.03</v>
      </c>
      <c r="J35" s="172">
        <v>0.02</v>
      </c>
      <c r="K35" s="174">
        <f t="shared" si="3"/>
        <v>6.7020499226157026</v>
      </c>
      <c r="L35" s="172">
        <v>8.5000000000000006E-2</v>
      </c>
      <c r="N35" s="170">
        <v>44971</v>
      </c>
      <c r="O35" s="174">
        <v>85.3</v>
      </c>
      <c r="P35" s="126">
        <v>2023</v>
      </c>
      <c r="Q35" s="126">
        <v>2</v>
      </c>
      <c r="R35" s="126" t="s">
        <v>138</v>
      </c>
      <c r="T35" s="126">
        <v>2022</v>
      </c>
      <c r="U35" s="126" t="s">
        <v>424</v>
      </c>
      <c r="V35" s="127">
        <v>426</v>
      </c>
      <c r="W35" s="128">
        <v>0.84</v>
      </c>
      <c r="X35" s="129">
        <v>0.46439999999999998</v>
      </c>
      <c r="Y35" s="129">
        <v>0.12620000000000001</v>
      </c>
      <c r="Z35" s="128">
        <v>0.62</v>
      </c>
      <c r="AA35" s="129">
        <v>5.45E-2</v>
      </c>
      <c r="AB35" s="128">
        <v>0.66</v>
      </c>
      <c r="AC35" s="130">
        <v>0.37930000000000003</v>
      </c>
      <c r="AD35" s="129">
        <v>0.34160000000000001</v>
      </c>
      <c r="AE35" s="129">
        <v>0.1913</v>
      </c>
      <c r="AG35" s="170">
        <v>40664</v>
      </c>
      <c r="AH35" s="176">
        <v>1364</v>
      </c>
      <c r="AI35" s="180">
        <v>3.2899999999999999E-2</v>
      </c>
      <c r="AJ35" s="176"/>
      <c r="AK35" s="128">
        <v>58.15</v>
      </c>
      <c r="AL35" s="128"/>
      <c r="AM35" s="180">
        <v>6.9500000000000006E-2</v>
      </c>
      <c r="AN35" s="129"/>
      <c r="AO35" s="178">
        <v>2011</v>
      </c>
      <c r="AQ35" s="126">
        <f t="shared" si="6"/>
        <v>33</v>
      </c>
      <c r="AR35" s="120"/>
      <c r="AS35" s="120"/>
      <c r="AT35" s="172">
        <f t="shared" si="9"/>
        <v>4.2402868799912063E-2</v>
      </c>
      <c r="AU35" s="174">
        <f t="shared" si="8"/>
        <v>4.1697756445224607</v>
      </c>
      <c r="AV35" s="172">
        <f>AU35^(1/$AQ35)-1</f>
        <v>4.4218284617165482E-2</v>
      </c>
      <c r="AW35" s="183">
        <f t="shared" ref="AW35:AW45" si="10">AW34+1</f>
        <v>2056</v>
      </c>
      <c r="AX35" s="185"/>
    </row>
    <row r="36" spans="1:50" x14ac:dyDescent="0.3">
      <c r="A36" s="83" t="s">
        <v>316</v>
      </c>
      <c r="B36" s="83">
        <v>72.67</v>
      </c>
      <c r="C36" s="171">
        <v>46388</v>
      </c>
      <c r="D36" s="83">
        <v>2027</v>
      </c>
      <c r="E36" s="83">
        <v>1</v>
      </c>
      <c r="F36" s="83" t="s">
        <v>572</v>
      </c>
      <c r="H36" s="84">
        <v>2057</v>
      </c>
      <c r="I36" s="173">
        <v>0.03</v>
      </c>
      <c r="J36" s="173">
        <v>0.02</v>
      </c>
      <c r="K36" s="175">
        <f t="shared" si="3"/>
        <v>6.7677562944060528</v>
      </c>
      <c r="L36" s="173">
        <v>8.5000000000000006E-2</v>
      </c>
      <c r="N36" s="171">
        <v>44972</v>
      </c>
      <c r="O36" s="175">
        <v>85.05</v>
      </c>
      <c r="P36" s="83">
        <v>2023</v>
      </c>
      <c r="Q36" s="83">
        <v>2</v>
      </c>
      <c r="R36" s="83" t="s">
        <v>138</v>
      </c>
      <c r="T36" s="83">
        <v>2022</v>
      </c>
      <c r="U36" s="83" t="s">
        <v>425</v>
      </c>
      <c r="V36" s="84">
        <v>1089</v>
      </c>
      <c r="W36" s="85">
        <v>0.88</v>
      </c>
      <c r="X36" s="86">
        <v>6.8083999999999998</v>
      </c>
      <c r="Y36" s="86">
        <v>0.15559999999999999</v>
      </c>
      <c r="Z36" s="85">
        <v>0.14000000000000001</v>
      </c>
      <c r="AA36" s="86">
        <v>7.4099999999999999E-2</v>
      </c>
      <c r="AB36" s="85">
        <v>0.16</v>
      </c>
      <c r="AC36" s="87">
        <v>0.35649999999999998</v>
      </c>
      <c r="AD36" s="86">
        <v>0.33119999999999999</v>
      </c>
      <c r="AE36" s="86">
        <v>0.39900000000000002</v>
      </c>
      <c r="AG36" s="171">
        <v>40695</v>
      </c>
      <c r="AH36" s="177">
        <v>1345</v>
      </c>
      <c r="AI36" s="181">
        <v>3.0599999999999999E-2</v>
      </c>
      <c r="AJ36" s="177"/>
      <c r="AK36" s="85">
        <v>58.15</v>
      </c>
      <c r="AL36" s="85"/>
      <c r="AM36" s="181">
        <v>6.9500000000000006E-2</v>
      </c>
      <c r="AN36" s="86"/>
      <c r="AO36" s="179">
        <v>2011</v>
      </c>
      <c r="AQ36" s="83">
        <f t="shared" si="6"/>
        <v>34</v>
      </c>
      <c r="AR36" s="120"/>
      <c r="AS36" s="120"/>
      <c r="AT36" s="173">
        <f t="shared" si="9"/>
        <v>4.2402868799912063E-2</v>
      </c>
      <c r="AU36" s="175">
        <f t="shared" ref="AU36:AU45" si="11">((AU35)*(1+AT36))</f>
        <v>4.3465860941022152</v>
      </c>
      <c r="AV36" s="173">
        <f t="shared" ref="AV36:AV45" si="12">AU36^(1/$AQ36)-1</f>
        <v>4.4164844933596958E-2</v>
      </c>
      <c r="AW36" s="184">
        <f t="shared" si="10"/>
        <v>2057</v>
      </c>
      <c r="AX36" s="186"/>
    </row>
    <row r="37" spans="1:50" x14ac:dyDescent="0.3">
      <c r="A37" s="126" t="s">
        <v>315</v>
      </c>
      <c r="B37" s="126">
        <v>72.489999999999995</v>
      </c>
      <c r="C37" s="170">
        <v>46419</v>
      </c>
      <c r="D37" s="126">
        <v>2027</v>
      </c>
      <c r="E37" s="126">
        <v>2</v>
      </c>
      <c r="F37" s="126" t="s">
        <v>572</v>
      </c>
      <c r="H37" s="127">
        <v>2058</v>
      </c>
      <c r="I37" s="172">
        <v>0.03</v>
      </c>
      <c r="J37" s="172">
        <v>0.02</v>
      </c>
      <c r="K37" s="174">
        <f t="shared" si="3"/>
        <v>6.8341068463119949</v>
      </c>
      <c r="L37" s="172">
        <v>8.5000000000000006E-2</v>
      </c>
      <c r="N37" s="170">
        <v>44973</v>
      </c>
      <c r="O37" s="174">
        <v>84.8</v>
      </c>
      <c r="P37" s="126">
        <v>2023</v>
      </c>
      <c r="Q37" s="126">
        <v>2</v>
      </c>
      <c r="R37" s="126" t="s">
        <v>138</v>
      </c>
      <c r="T37" s="126">
        <v>2022</v>
      </c>
      <c r="U37" s="126" t="s">
        <v>426</v>
      </c>
      <c r="V37" s="127">
        <v>1397</v>
      </c>
      <c r="W37" s="128">
        <v>0.8</v>
      </c>
      <c r="X37" s="129">
        <v>0.28989999999999999</v>
      </c>
      <c r="Y37" s="129">
        <v>0.15179999999999999</v>
      </c>
      <c r="Z37" s="128">
        <v>0.65</v>
      </c>
      <c r="AA37" s="129">
        <v>5.5599999999999997E-2</v>
      </c>
      <c r="AB37" s="128">
        <v>0.69</v>
      </c>
      <c r="AC37" s="130">
        <v>0.33300000000000002</v>
      </c>
      <c r="AD37" s="129">
        <v>0.29170000000000001</v>
      </c>
      <c r="AE37" s="129">
        <v>0.17910000000000001</v>
      </c>
      <c r="AG37" s="170">
        <v>40725</v>
      </c>
      <c r="AH37" s="176">
        <v>1321</v>
      </c>
      <c r="AI37" s="180">
        <v>3.1699999999999999E-2</v>
      </c>
      <c r="AJ37" s="176"/>
      <c r="AK37" s="128">
        <v>62.24</v>
      </c>
      <c r="AL37" s="128"/>
      <c r="AM37" s="180">
        <v>6.9500000000000006E-2</v>
      </c>
      <c r="AN37" s="129"/>
      <c r="AO37" s="178">
        <v>2011</v>
      </c>
      <c r="AQ37" s="126">
        <f t="shared" si="6"/>
        <v>35</v>
      </c>
      <c r="AR37" s="120"/>
      <c r="AS37" s="120"/>
      <c r="AT37" s="172">
        <f t="shared" si="9"/>
        <v>4.2402868799912063E-2</v>
      </c>
      <c r="AU37" s="174">
        <f t="shared" si="11"/>
        <v>4.5308938139779533</v>
      </c>
      <c r="AV37" s="172">
        <f t="shared" si="12"/>
        <v>4.4114461451151055E-2</v>
      </c>
      <c r="AW37" s="183">
        <f t="shared" si="10"/>
        <v>2058</v>
      </c>
      <c r="AX37" s="185"/>
    </row>
    <row r="38" spans="1:50" x14ac:dyDescent="0.3">
      <c r="A38" s="83" t="s">
        <v>314</v>
      </c>
      <c r="B38" s="83">
        <v>72.31</v>
      </c>
      <c r="C38" s="171">
        <v>46447</v>
      </c>
      <c r="D38" s="83">
        <v>2027</v>
      </c>
      <c r="E38" s="83">
        <v>3</v>
      </c>
      <c r="F38" s="83" t="s">
        <v>572</v>
      </c>
      <c r="H38" s="84">
        <v>2059</v>
      </c>
      <c r="I38" s="173">
        <v>0.03</v>
      </c>
      <c r="J38" s="173">
        <v>0.02</v>
      </c>
      <c r="K38" s="175">
        <f t="shared" si="3"/>
        <v>6.9011078938248582</v>
      </c>
      <c r="L38" s="173">
        <v>8.5000000000000006E-2</v>
      </c>
      <c r="N38" s="171">
        <v>44974</v>
      </c>
      <c r="O38" s="175">
        <v>82.67</v>
      </c>
      <c r="P38" s="83">
        <v>2023</v>
      </c>
      <c r="Q38" s="83">
        <v>2</v>
      </c>
      <c r="R38" s="83" t="s">
        <v>138</v>
      </c>
      <c r="T38" s="83">
        <v>2022</v>
      </c>
      <c r="U38" s="83" t="s">
        <v>427</v>
      </c>
      <c r="V38" s="84">
        <v>169</v>
      </c>
      <c r="W38" s="85">
        <v>0.69</v>
      </c>
      <c r="X38" s="86">
        <v>0.67969999999999997</v>
      </c>
      <c r="Y38" s="86">
        <v>0.1663</v>
      </c>
      <c r="Z38" s="85">
        <v>0.46</v>
      </c>
      <c r="AA38" s="86">
        <v>6.0699999999999997E-2</v>
      </c>
      <c r="AB38" s="85">
        <v>0.48</v>
      </c>
      <c r="AC38" s="87">
        <v>0.3327</v>
      </c>
      <c r="AD38" s="86">
        <v>0.31459999999999999</v>
      </c>
      <c r="AE38" s="86">
        <v>0.1608</v>
      </c>
      <c r="AG38" s="171">
        <v>40756</v>
      </c>
      <c r="AH38" s="177">
        <v>1292</v>
      </c>
      <c r="AI38" s="181">
        <v>2.8000000000000001E-2</v>
      </c>
      <c r="AJ38" s="177"/>
      <c r="AK38" s="85">
        <v>62.24</v>
      </c>
      <c r="AL38" s="85"/>
      <c r="AM38" s="181">
        <v>6.9500000000000006E-2</v>
      </c>
      <c r="AN38" s="86"/>
      <c r="AO38" s="179">
        <v>2011</v>
      </c>
      <c r="AQ38" s="83">
        <f t="shared" si="6"/>
        <v>36</v>
      </c>
      <c r="AR38" s="120"/>
      <c r="AS38" s="120"/>
      <c r="AT38" s="173">
        <f t="shared" si="9"/>
        <v>4.2402868799912063E-2</v>
      </c>
      <c r="AU38" s="175">
        <f t="shared" si="11"/>
        <v>4.7230167099183937</v>
      </c>
      <c r="AV38" s="173">
        <f t="shared" si="12"/>
        <v>4.4066879283348515E-2</v>
      </c>
      <c r="AW38" s="184">
        <f t="shared" si="10"/>
        <v>2059</v>
      </c>
      <c r="AX38" s="186"/>
    </row>
    <row r="39" spans="1:50" x14ac:dyDescent="0.3">
      <c r="A39" s="126" t="s">
        <v>313</v>
      </c>
      <c r="B39" s="126">
        <v>72.16</v>
      </c>
      <c r="C39" s="170">
        <v>46478</v>
      </c>
      <c r="D39" s="126">
        <v>2027</v>
      </c>
      <c r="E39" s="126">
        <v>4</v>
      </c>
      <c r="F39" s="126" t="s">
        <v>573</v>
      </c>
      <c r="H39" s="127">
        <v>2060</v>
      </c>
      <c r="I39" s="172">
        <v>0.03</v>
      </c>
      <c r="J39" s="172">
        <v>0.02</v>
      </c>
      <c r="K39" s="174">
        <f t="shared" si="3"/>
        <v>6.9687658143525528</v>
      </c>
      <c r="L39" s="172">
        <v>8.5000000000000006E-2</v>
      </c>
      <c r="N39" s="170">
        <v>44977</v>
      </c>
      <c r="O39" s="174">
        <v>83.78</v>
      </c>
      <c r="P39" s="126">
        <v>2023</v>
      </c>
      <c r="Q39" s="126">
        <v>2</v>
      </c>
      <c r="R39" s="126" t="s">
        <v>138</v>
      </c>
      <c r="T39" s="126">
        <v>2022</v>
      </c>
      <c r="U39" s="126" t="s">
        <v>428</v>
      </c>
      <c r="V39" s="127">
        <v>362</v>
      </c>
      <c r="W39" s="128">
        <v>1.08</v>
      </c>
      <c r="X39" s="129">
        <v>0.25679999999999997</v>
      </c>
      <c r="Y39" s="129">
        <v>0.15040000000000001</v>
      </c>
      <c r="Z39" s="128">
        <v>0.91</v>
      </c>
      <c r="AA39" s="129">
        <v>0.16689999999999999</v>
      </c>
      <c r="AB39" s="128">
        <v>1.0900000000000001</v>
      </c>
      <c r="AC39" s="130">
        <v>0.3523</v>
      </c>
      <c r="AD39" s="129">
        <v>0.30130000000000001</v>
      </c>
      <c r="AE39" s="129">
        <v>0.30020000000000002</v>
      </c>
      <c r="AG39" s="170">
        <v>40787</v>
      </c>
      <c r="AH39" s="176">
        <v>1219</v>
      </c>
      <c r="AI39" s="180">
        <v>2.23E-2</v>
      </c>
      <c r="AJ39" s="176"/>
      <c r="AK39" s="128">
        <v>62.24</v>
      </c>
      <c r="AL39" s="128"/>
      <c r="AM39" s="180">
        <v>6.9500000000000006E-2</v>
      </c>
      <c r="AN39" s="129"/>
      <c r="AO39" s="178">
        <v>2011</v>
      </c>
      <c r="AQ39" s="126">
        <f t="shared" si="6"/>
        <v>37</v>
      </c>
      <c r="AR39" s="120"/>
      <c r="AS39" s="120"/>
      <c r="AT39" s="172">
        <f t="shared" si="9"/>
        <v>4.2402868799912063E-2</v>
      </c>
      <c r="AU39" s="174">
        <f t="shared" si="11"/>
        <v>4.9232861678088558</v>
      </c>
      <c r="AV39" s="172">
        <f t="shared" si="12"/>
        <v>4.4021871120373701E-2</v>
      </c>
      <c r="AW39" s="183">
        <f t="shared" si="10"/>
        <v>2060</v>
      </c>
      <c r="AX39" s="185"/>
    </row>
    <row r="40" spans="1:50" x14ac:dyDescent="0.3">
      <c r="A40" s="83" t="s">
        <v>312</v>
      </c>
      <c r="B40" s="83">
        <v>72.010000000000005</v>
      </c>
      <c r="C40" s="171">
        <v>46508</v>
      </c>
      <c r="D40" s="83">
        <v>2027</v>
      </c>
      <c r="E40" s="83">
        <v>5</v>
      </c>
      <c r="F40" s="83" t="s">
        <v>573</v>
      </c>
      <c r="H40" s="84">
        <v>2061</v>
      </c>
      <c r="I40" s="173">
        <v>0.03</v>
      </c>
      <c r="J40" s="173">
        <v>0.02</v>
      </c>
      <c r="K40" s="175">
        <f t="shared" si="3"/>
        <v>7.0370870478265974</v>
      </c>
      <c r="L40" s="173">
        <v>8.5000000000000006E-2</v>
      </c>
      <c r="N40" s="171">
        <v>44978</v>
      </c>
      <c r="O40" s="175">
        <v>82.77</v>
      </c>
      <c r="P40" s="83">
        <v>2023</v>
      </c>
      <c r="Q40" s="83">
        <v>2</v>
      </c>
      <c r="R40" s="83" t="s">
        <v>138</v>
      </c>
      <c r="T40" s="83">
        <v>2022</v>
      </c>
      <c r="U40" s="83" t="s">
        <v>482</v>
      </c>
      <c r="V40" s="84">
        <v>248</v>
      </c>
      <c r="W40" s="85">
        <v>1.03</v>
      </c>
      <c r="X40" s="86">
        <v>0.62309999999999999</v>
      </c>
      <c r="Y40" s="86">
        <v>0.1038</v>
      </c>
      <c r="Z40" s="85">
        <v>0.7</v>
      </c>
      <c r="AA40" s="86">
        <v>4.82E-2</v>
      </c>
      <c r="AB40" s="85">
        <v>0.74</v>
      </c>
      <c r="AC40" s="87">
        <v>0.38319999999999999</v>
      </c>
      <c r="AD40" s="86">
        <v>0.36969999999999997</v>
      </c>
      <c r="AE40" s="86">
        <v>0.4032</v>
      </c>
      <c r="AG40" s="171">
        <v>40817</v>
      </c>
      <c r="AH40" s="177">
        <v>1131</v>
      </c>
      <c r="AI40" s="181">
        <v>1.9199999999999998E-2</v>
      </c>
      <c r="AJ40" s="177"/>
      <c r="AK40" s="85">
        <v>68.650000000000006</v>
      </c>
      <c r="AL40" s="85"/>
      <c r="AM40" s="181">
        <v>6.9500000000000006E-2</v>
      </c>
      <c r="AN40" s="86"/>
      <c r="AO40" s="179">
        <v>2011</v>
      </c>
      <c r="AQ40" s="83">
        <f t="shared" si="6"/>
        <v>38</v>
      </c>
      <c r="AR40" s="120"/>
      <c r="AS40" s="120"/>
      <c r="AT40" s="173">
        <f t="shared" si="9"/>
        <v>4.2402868799912063E-2</v>
      </c>
      <c r="AU40" s="175">
        <f t="shared" si="11"/>
        <v>5.1320476252468765</v>
      </c>
      <c r="AV40" s="173">
        <f t="shared" si="12"/>
        <v>4.3979233597828848E-2</v>
      </c>
      <c r="AW40" s="184">
        <f t="shared" si="10"/>
        <v>2061</v>
      </c>
      <c r="AX40" s="186"/>
    </row>
    <row r="41" spans="1:50" x14ac:dyDescent="0.3">
      <c r="A41" s="126" t="s">
        <v>311</v>
      </c>
      <c r="B41" s="126">
        <v>71.88</v>
      </c>
      <c r="C41" s="170">
        <v>46539</v>
      </c>
      <c r="D41" s="126">
        <v>2027</v>
      </c>
      <c r="E41" s="126">
        <v>6</v>
      </c>
      <c r="F41" s="126" t="s">
        <v>573</v>
      </c>
      <c r="H41" s="127">
        <v>2062</v>
      </c>
      <c r="I41" s="172">
        <v>0.03</v>
      </c>
      <c r="J41" s="172">
        <v>0.02</v>
      </c>
      <c r="K41" s="174">
        <f t="shared" si="3"/>
        <v>7.106078097315093</v>
      </c>
      <c r="L41" s="172">
        <v>8.5000000000000006E-2</v>
      </c>
      <c r="N41" s="170">
        <v>44979</v>
      </c>
      <c r="O41" s="174">
        <v>80.45</v>
      </c>
      <c r="P41" s="126">
        <v>2023</v>
      </c>
      <c r="Q41" s="126">
        <v>2</v>
      </c>
      <c r="R41" s="126" t="s">
        <v>138</v>
      </c>
      <c r="T41" s="126">
        <v>2022</v>
      </c>
      <c r="U41" s="126" t="s">
        <v>429</v>
      </c>
      <c r="V41" s="127">
        <v>896</v>
      </c>
      <c r="W41" s="128">
        <v>1.1299999999999999</v>
      </c>
      <c r="X41" s="129">
        <v>0.13150000000000001</v>
      </c>
      <c r="Y41" s="129">
        <v>7.8899999999999998E-2</v>
      </c>
      <c r="Z41" s="128">
        <v>1.03</v>
      </c>
      <c r="AA41" s="129">
        <v>4.5400000000000003E-2</v>
      </c>
      <c r="AB41" s="128">
        <v>1.08</v>
      </c>
      <c r="AC41" s="130">
        <v>0.47070000000000001</v>
      </c>
      <c r="AD41" s="129">
        <v>0.43159999999999998</v>
      </c>
      <c r="AE41" s="129">
        <v>0.34639999999999999</v>
      </c>
      <c r="AG41" s="170">
        <v>40848</v>
      </c>
      <c r="AH41" s="176">
        <v>1253</v>
      </c>
      <c r="AI41" s="180">
        <v>2.0500000000000001E-2</v>
      </c>
      <c r="AJ41" s="176"/>
      <c r="AK41" s="128">
        <v>68.650000000000006</v>
      </c>
      <c r="AL41" s="128"/>
      <c r="AM41" s="180">
        <v>5.5E-2</v>
      </c>
      <c r="AN41" s="129"/>
      <c r="AO41" s="178">
        <v>2011</v>
      </c>
      <c r="AQ41" s="126">
        <f t="shared" si="6"/>
        <v>39</v>
      </c>
      <c r="AR41" s="120"/>
      <c r="AS41" s="120"/>
      <c r="AT41" s="172">
        <f t="shared" si="9"/>
        <v>4.2402868799912063E-2</v>
      </c>
      <c r="AU41" s="174">
        <f t="shared" si="11"/>
        <v>5.3496611673751202</v>
      </c>
      <c r="AV41" s="172">
        <f t="shared" si="12"/>
        <v>4.3938784224548888E-2</v>
      </c>
      <c r="AW41" s="183">
        <f t="shared" si="10"/>
        <v>2062</v>
      </c>
      <c r="AX41" s="185"/>
    </row>
    <row r="42" spans="1:50" x14ac:dyDescent="0.3">
      <c r="A42" s="83" t="s">
        <v>310</v>
      </c>
      <c r="B42" s="83">
        <v>71.72</v>
      </c>
      <c r="C42" s="171">
        <v>46569</v>
      </c>
      <c r="D42" s="83">
        <v>2027</v>
      </c>
      <c r="E42" s="83">
        <v>7</v>
      </c>
      <c r="F42" s="83" t="s">
        <v>574</v>
      </c>
      <c r="H42" s="84">
        <v>2063</v>
      </c>
      <c r="I42" s="173">
        <v>0.03</v>
      </c>
      <c r="J42" s="173">
        <v>0.02</v>
      </c>
      <c r="K42" s="175">
        <f t="shared" si="3"/>
        <v>7.175745529641711</v>
      </c>
      <c r="L42" s="173">
        <v>8.5000000000000006E-2</v>
      </c>
      <c r="N42" s="171">
        <v>44980</v>
      </c>
      <c r="O42" s="175">
        <v>81.95</v>
      </c>
      <c r="P42" s="83">
        <v>2023</v>
      </c>
      <c r="Q42" s="83">
        <v>2</v>
      </c>
      <c r="R42" s="83" t="s">
        <v>138</v>
      </c>
      <c r="T42" s="83">
        <v>2022</v>
      </c>
      <c r="U42" s="83" t="s">
        <v>483</v>
      </c>
      <c r="V42" s="84">
        <v>460</v>
      </c>
      <c r="W42" s="85">
        <v>1.01</v>
      </c>
      <c r="X42" s="86">
        <v>0.27360000000000001</v>
      </c>
      <c r="Y42" s="86">
        <v>0.14380000000000001</v>
      </c>
      <c r="Z42" s="85">
        <v>0.84</v>
      </c>
      <c r="AA42" s="86">
        <v>8.7499999999999994E-2</v>
      </c>
      <c r="AB42" s="85">
        <v>0.92</v>
      </c>
      <c r="AC42" s="87">
        <v>0.42720000000000002</v>
      </c>
      <c r="AD42" s="86">
        <v>0.38240000000000002</v>
      </c>
      <c r="AE42" s="86">
        <v>0.26829999999999998</v>
      </c>
      <c r="AG42" s="171">
        <v>40878</v>
      </c>
      <c r="AH42" s="177">
        <v>1247</v>
      </c>
      <c r="AI42" s="181">
        <v>2.07E-2</v>
      </c>
      <c r="AJ42" s="177"/>
      <c r="AK42" s="85">
        <v>68.650000000000006</v>
      </c>
      <c r="AL42" s="85"/>
      <c r="AM42" s="181">
        <v>5.5E-2</v>
      </c>
      <c r="AN42" s="86"/>
      <c r="AO42" s="179">
        <v>2011</v>
      </c>
      <c r="AQ42" s="83">
        <f t="shared" si="6"/>
        <v>40</v>
      </c>
      <c r="AR42" s="120"/>
      <c r="AS42" s="120"/>
      <c r="AT42" s="173">
        <f t="shared" si="9"/>
        <v>4.2402868799912063E-2</v>
      </c>
      <c r="AU42" s="175">
        <f t="shared" si="11"/>
        <v>5.576502147979312</v>
      </c>
      <c r="AV42" s="173">
        <f t="shared" si="12"/>
        <v>4.3900358771577386E-2</v>
      </c>
      <c r="AW42" s="184">
        <f t="shared" si="10"/>
        <v>2063</v>
      </c>
      <c r="AX42" s="186"/>
    </row>
    <row r="43" spans="1:50" x14ac:dyDescent="0.3">
      <c r="A43" s="126" t="s">
        <v>309</v>
      </c>
      <c r="B43" s="126">
        <v>71.569999999999993</v>
      </c>
      <c r="C43" s="170">
        <v>46600</v>
      </c>
      <c r="D43" s="126">
        <v>2027</v>
      </c>
      <c r="E43" s="126">
        <v>8</v>
      </c>
      <c r="F43" s="126" t="s">
        <v>574</v>
      </c>
      <c r="H43" s="127">
        <v>2064</v>
      </c>
      <c r="I43" s="172">
        <v>0.03</v>
      </c>
      <c r="J43" s="172">
        <v>0.02</v>
      </c>
      <c r="K43" s="174">
        <f t="shared" si="3"/>
        <v>7.2460959760107482</v>
      </c>
      <c r="L43" s="172">
        <v>8.5000000000000006E-2</v>
      </c>
      <c r="N43" s="170">
        <v>44981</v>
      </c>
      <c r="O43" s="174">
        <v>82.82</v>
      </c>
      <c r="P43" s="126">
        <v>2023</v>
      </c>
      <c r="Q43" s="126">
        <v>2</v>
      </c>
      <c r="R43" s="126" t="s">
        <v>138</v>
      </c>
      <c r="T43" s="126">
        <v>2022</v>
      </c>
      <c r="U43" s="126" t="s">
        <v>473</v>
      </c>
      <c r="V43" s="127">
        <v>447</v>
      </c>
      <c r="W43" s="128">
        <v>1.34</v>
      </c>
      <c r="X43" s="129">
        <v>0.1193</v>
      </c>
      <c r="Y43" s="129">
        <v>7.7299999999999994E-2</v>
      </c>
      <c r="Z43" s="128">
        <v>1.23</v>
      </c>
      <c r="AA43" s="129">
        <v>3.6200000000000003E-2</v>
      </c>
      <c r="AB43" s="128">
        <v>1.27</v>
      </c>
      <c r="AC43" s="130">
        <v>0.49170000000000003</v>
      </c>
      <c r="AD43" s="129">
        <v>0.45079999999999998</v>
      </c>
      <c r="AE43" s="129">
        <v>0.51480000000000004</v>
      </c>
      <c r="AG43" s="170">
        <v>40909</v>
      </c>
      <c r="AH43" s="176">
        <v>1258</v>
      </c>
      <c r="AI43" s="180">
        <v>1.8700000000000001E-2</v>
      </c>
      <c r="AJ43" s="176">
        <v>59.01</v>
      </c>
      <c r="AK43" s="128">
        <v>72.23</v>
      </c>
      <c r="AL43" s="128"/>
      <c r="AM43" s="180">
        <v>7.1800000000000003E-2</v>
      </c>
      <c r="AN43" s="129"/>
      <c r="AO43" s="178">
        <v>2012</v>
      </c>
      <c r="AQ43" s="126">
        <f t="shared" si="6"/>
        <v>41</v>
      </c>
      <c r="AR43" s="120"/>
      <c r="AS43" s="120"/>
      <c r="AT43" s="172">
        <f t="shared" si="9"/>
        <v>4.2402868799912063E-2</v>
      </c>
      <c r="AU43" s="174">
        <f t="shared" si="11"/>
        <v>5.8129618369225069</v>
      </c>
      <c r="AV43" s="172">
        <f t="shared" si="12"/>
        <v>4.3863809043508839E-2</v>
      </c>
      <c r="AW43" s="183">
        <f t="shared" si="10"/>
        <v>2064</v>
      </c>
      <c r="AX43" s="185"/>
    </row>
    <row r="44" spans="1:50" x14ac:dyDescent="0.3">
      <c r="A44" s="83" t="s">
        <v>308</v>
      </c>
      <c r="B44" s="83">
        <v>71.400000000000006</v>
      </c>
      <c r="C44" s="171">
        <v>46631</v>
      </c>
      <c r="D44" s="83">
        <v>2027</v>
      </c>
      <c r="E44" s="83">
        <v>9</v>
      </c>
      <c r="F44" s="83" t="s">
        <v>574</v>
      </c>
      <c r="H44" s="84">
        <v>2065</v>
      </c>
      <c r="I44" s="173">
        <v>0.03</v>
      </c>
      <c r="J44" s="173">
        <v>0.02</v>
      </c>
      <c r="K44" s="175">
        <f t="shared" si="3"/>
        <v>7.3171361326383053</v>
      </c>
      <c r="L44" s="173">
        <v>8.5000000000000006E-2</v>
      </c>
      <c r="N44" s="171">
        <v>44984</v>
      </c>
      <c r="O44" s="175">
        <v>82.04</v>
      </c>
      <c r="P44" s="83">
        <v>2023</v>
      </c>
      <c r="Q44" s="83">
        <v>2</v>
      </c>
      <c r="R44" s="83" t="s">
        <v>138</v>
      </c>
      <c r="T44" s="83">
        <v>2022</v>
      </c>
      <c r="U44" s="83" t="s">
        <v>430</v>
      </c>
      <c r="V44" s="84">
        <v>171</v>
      </c>
      <c r="W44" s="85">
        <v>1.1399999999999999</v>
      </c>
      <c r="X44" s="86">
        <v>0.46060000000000001</v>
      </c>
      <c r="Y44" s="86">
        <v>0.1946</v>
      </c>
      <c r="Z44" s="85">
        <v>0.85</v>
      </c>
      <c r="AA44" s="86">
        <v>0.13200000000000001</v>
      </c>
      <c r="AB44" s="85">
        <v>0.97</v>
      </c>
      <c r="AC44" s="87">
        <v>0.33019999999999999</v>
      </c>
      <c r="AD44" s="86">
        <v>0.28510000000000002</v>
      </c>
      <c r="AE44" s="86">
        <v>0.45369999999999999</v>
      </c>
      <c r="AG44" s="171">
        <v>40940</v>
      </c>
      <c r="AH44" s="177">
        <v>1312</v>
      </c>
      <c r="AI44" s="181">
        <v>1.8100000000000002E-2</v>
      </c>
      <c r="AJ44" s="177">
        <v>59.01</v>
      </c>
      <c r="AK44" s="85">
        <v>72.23</v>
      </c>
      <c r="AL44" s="85"/>
      <c r="AM44" s="181">
        <v>7.1800000000000003E-2</v>
      </c>
      <c r="AN44" s="86"/>
      <c r="AO44" s="179">
        <v>2012</v>
      </c>
      <c r="AQ44" s="83">
        <f t="shared" si="6"/>
        <v>42</v>
      </c>
      <c r="AR44" s="120"/>
      <c r="AS44" s="120"/>
      <c r="AT44" s="173">
        <f t="shared" si="9"/>
        <v>4.2402868799912063E-2</v>
      </c>
      <c r="AU44" s="175">
        <f t="shared" si="11"/>
        <v>6.0594480950324279</v>
      </c>
      <c r="AV44" s="173">
        <f t="shared" si="12"/>
        <v>4.382900096842901E-2</v>
      </c>
      <c r="AW44" s="184">
        <f t="shared" si="10"/>
        <v>2065</v>
      </c>
      <c r="AX44" s="186"/>
    </row>
    <row r="45" spans="1:50" x14ac:dyDescent="0.3">
      <c r="A45" s="126" t="s">
        <v>307</v>
      </c>
      <c r="B45" s="126">
        <v>71.239999999999995</v>
      </c>
      <c r="C45" s="170">
        <v>46661</v>
      </c>
      <c r="D45" s="126">
        <v>2027</v>
      </c>
      <c r="E45" s="126">
        <v>10</v>
      </c>
      <c r="F45" s="126" t="s">
        <v>575</v>
      </c>
      <c r="H45" s="127">
        <v>2066</v>
      </c>
      <c r="I45" s="172">
        <v>0.03</v>
      </c>
      <c r="J45" s="172">
        <v>0.02</v>
      </c>
      <c r="K45" s="174">
        <f t="shared" si="3"/>
        <v>7.3888727613896608</v>
      </c>
      <c r="L45" s="172">
        <v>8.5000000000000006E-2</v>
      </c>
      <c r="N45" s="170">
        <v>44985</v>
      </c>
      <c r="O45" s="174">
        <v>83.45</v>
      </c>
      <c r="P45" s="126">
        <v>2023</v>
      </c>
      <c r="Q45" s="126">
        <v>2</v>
      </c>
      <c r="R45" s="126" t="s">
        <v>138</v>
      </c>
      <c r="T45" s="126">
        <v>2022</v>
      </c>
      <c r="U45" s="126" t="s">
        <v>484</v>
      </c>
      <c r="V45" s="127">
        <v>231</v>
      </c>
      <c r="W45" s="128">
        <v>0.77</v>
      </c>
      <c r="X45" s="129">
        <v>0.51480000000000004</v>
      </c>
      <c r="Y45" s="129">
        <v>0.1552</v>
      </c>
      <c r="Z45" s="128">
        <v>0.55000000000000004</v>
      </c>
      <c r="AA45" s="129">
        <v>3.04E-2</v>
      </c>
      <c r="AB45" s="128">
        <v>0.56999999999999995</v>
      </c>
      <c r="AC45" s="130">
        <v>0.35959999999999998</v>
      </c>
      <c r="AD45" s="129">
        <v>0.31840000000000002</v>
      </c>
      <c r="AE45" s="129">
        <v>0.1968</v>
      </c>
      <c r="AG45" s="170">
        <v>40969</v>
      </c>
      <c r="AH45" s="176">
        <v>1366</v>
      </c>
      <c r="AI45" s="180">
        <v>1.9800000000000002E-2</v>
      </c>
      <c r="AJ45" s="176">
        <v>59.01</v>
      </c>
      <c r="AK45" s="128">
        <v>72.23</v>
      </c>
      <c r="AL45" s="128"/>
      <c r="AM45" s="180">
        <v>7.1800000000000003E-2</v>
      </c>
      <c r="AN45" s="129"/>
      <c r="AO45" s="178">
        <v>2012</v>
      </c>
      <c r="AQ45" s="126">
        <f t="shared" si="6"/>
        <v>43</v>
      </c>
      <c r="AR45" s="120"/>
      <c r="AS45" s="120"/>
      <c r="AT45" s="172">
        <f t="shared" si="9"/>
        <v>4.2402868799912063E-2</v>
      </c>
      <c r="AU45" s="174">
        <f t="shared" si="11"/>
        <v>6.3163860776059648</v>
      </c>
      <c r="AV45" s="172">
        <f t="shared" si="12"/>
        <v>4.3795812954553037E-2</v>
      </c>
      <c r="AW45" s="183">
        <f t="shared" si="10"/>
        <v>2066</v>
      </c>
      <c r="AX45" s="185"/>
    </row>
    <row r="46" spans="1:50" x14ac:dyDescent="0.3">
      <c r="A46" s="83" t="s">
        <v>306</v>
      </c>
      <c r="B46" s="83">
        <v>71.12</v>
      </c>
      <c r="C46" s="171">
        <v>46692</v>
      </c>
      <c r="D46" s="83">
        <v>2027</v>
      </c>
      <c r="E46" s="83">
        <v>11</v>
      </c>
      <c r="F46" s="83" t="s">
        <v>575</v>
      </c>
      <c r="H46" s="84">
        <v>2067</v>
      </c>
      <c r="I46" s="173">
        <v>0.03</v>
      </c>
      <c r="J46" s="173">
        <v>0.02</v>
      </c>
      <c r="K46" s="175">
        <f t="shared" si="3"/>
        <v>7.4613126904228926</v>
      </c>
      <c r="L46" s="173">
        <v>8.5000000000000006E-2</v>
      </c>
      <c r="N46" s="171">
        <v>44986</v>
      </c>
      <c r="O46" s="175">
        <v>84.31</v>
      </c>
      <c r="P46" s="83">
        <v>2023</v>
      </c>
      <c r="Q46" s="83">
        <v>3</v>
      </c>
      <c r="R46" s="83" t="s">
        <v>138</v>
      </c>
      <c r="T46" s="83">
        <v>2022</v>
      </c>
      <c r="U46" s="83" t="s">
        <v>431</v>
      </c>
      <c r="V46" s="84">
        <v>650</v>
      </c>
      <c r="W46" s="85">
        <v>0.97</v>
      </c>
      <c r="X46" s="86">
        <v>0.56389999999999996</v>
      </c>
      <c r="Y46" s="86">
        <v>8.3599999999999994E-2</v>
      </c>
      <c r="Z46" s="85">
        <v>0.68</v>
      </c>
      <c r="AA46" s="86">
        <v>8.5900000000000004E-2</v>
      </c>
      <c r="AB46" s="85">
        <v>0.75</v>
      </c>
      <c r="AC46" s="87">
        <v>0.35870000000000002</v>
      </c>
      <c r="AD46" s="86">
        <v>0.34989999999999999</v>
      </c>
      <c r="AE46" s="86">
        <v>0.94389999999999996</v>
      </c>
      <c r="AG46" s="171">
        <v>41000</v>
      </c>
      <c r="AH46" s="177">
        <v>1408</v>
      </c>
      <c r="AI46" s="181">
        <v>2.2100000000000002E-2</v>
      </c>
      <c r="AJ46" s="177">
        <v>66.290000000000006</v>
      </c>
      <c r="AK46" s="85">
        <v>74.069999999999993</v>
      </c>
      <c r="AL46" s="85"/>
      <c r="AM46" s="181">
        <v>7.1800000000000003E-2</v>
      </c>
      <c r="AN46" s="86"/>
      <c r="AO46" s="179">
        <v>2012</v>
      </c>
      <c r="AX46" s="187"/>
    </row>
    <row r="47" spans="1:50" x14ac:dyDescent="0.3">
      <c r="A47" s="126" t="s">
        <v>305</v>
      </c>
      <c r="B47" s="126">
        <v>71.010000000000005</v>
      </c>
      <c r="C47" s="170">
        <v>46722</v>
      </c>
      <c r="D47" s="126">
        <v>2027</v>
      </c>
      <c r="E47" s="126">
        <v>12</v>
      </c>
      <c r="F47" s="126" t="s">
        <v>575</v>
      </c>
      <c r="H47" s="127">
        <v>2068</v>
      </c>
      <c r="I47" s="172">
        <v>0.03</v>
      </c>
      <c r="J47" s="172">
        <v>0.02</v>
      </c>
      <c r="K47" s="174">
        <f t="shared" si="3"/>
        <v>7.5344628148388031</v>
      </c>
      <c r="L47" s="172">
        <v>8.5000000000000006E-2</v>
      </c>
      <c r="N47" s="170">
        <v>44987</v>
      </c>
      <c r="O47" s="174">
        <v>84.75</v>
      </c>
      <c r="P47" s="126">
        <v>2023</v>
      </c>
      <c r="Q47" s="126">
        <v>3</v>
      </c>
      <c r="R47" s="126" t="s">
        <v>138</v>
      </c>
      <c r="T47" s="126">
        <v>2022</v>
      </c>
      <c r="U47" s="126" t="s">
        <v>432</v>
      </c>
      <c r="V47" s="127">
        <v>589</v>
      </c>
      <c r="W47" s="128">
        <v>1.02</v>
      </c>
      <c r="X47" s="129">
        <v>0.1401</v>
      </c>
      <c r="Y47" s="129">
        <v>0.11700000000000001</v>
      </c>
      <c r="Z47" s="128">
        <v>0.93</v>
      </c>
      <c r="AA47" s="129">
        <v>3.4299999999999997E-2</v>
      </c>
      <c r="AB47" s="128">
        <v>0.96</v>
      </c>
      <c r="AC47" s="130">
        <v>0.435</v>
      </c>
      <c r="AD47" s="129">
        <v>0.37890000000000001</v>
      </c>
      <c r="AE47" s="129">
        <v>0.1163</v>
      </c>
      <c r="AG47" s="170">
        <v>41030</v>
      </c>
      <c r="AH47" s="176">
        <v>1398</v>
      </c>
      <c r="AI47" s="180">
        <v>1.9199999999999998E-2</v>
      </c>
      <c r="AJ47" s="176">
        <v>66.290000000000006</v>
      </c>
      <c r="AK47" s="128">
        <v>74.069999999999993</v>
      </c>
      <c r="AL47" s="128"/>
      <c r="AM47" s="180">
        <v>7.1800000000000003E-2</v>
      </c>
      <c r="AN47" s="129"/>
      <c r="AO47" s="178">
        <v>2012</v>
      </c>
    </row>
    <row r="48" spans="1:50" x14ac:dyDescent="0.3">
      <c r="A48" s="83" t="s">
        <v>304</v>
      </c>
      <c r="B48" s="83">
        <v>70.92</v>
      </c>
      <c r="C48" s="171">
        <v>46753</v>
      </c>
      <c r="D48" s="83">
        <v>2028</v>
      </c>
      <c r="E48" s="83">
        <v>1</v>
      </c>
      <c r="F48" s="83" t="s">
        <v>576</v>
      </c>
      <c r="H48" s="84">
        <v>2069</v>
      </c>
      <c r="I48" s="173">
        <v>0.03</v>
      </c>
      <c r="J48" s="173">
        <v>0.02</v>
      </c>
      <c r="K48" s="175">
        <f t="shared" si="3"/>
        <v>7.6083300973372232</v>
      </c>
      <c r="L48" s="173">
        <v>8.5000000000000006E-2</v>
      </c>
      <c r="N48" s="171">
        <v>44988</v>
      </c>
      <c r="O48" s="175">
        <v>85.83</v>
      </c>
      <c r="P48" s="83">
        <v>2023</v>
      </c>
      <c r="Q48" s="83">
        <v>3</v>
      </c>
      <c r="R48" s="83" t="s">
        <v>138</v>
      </c>
      <c r="T48" s="83">
        <v>2022</v>
      </c>
      <c r="U48" s="83" t="s">
        <v>433</v>
      </c>
      <c r="V48" s="84">
        <v>242</v>
      </c>
      <c r="W48" s="85">
        <v>1.41</v>
      </c>
      <c r="X48" s="86">
        <v>0.1404</v>
      </c>
      <c r="Y48" s="86">
        <v>0.15759999999999999</v>
      </c>
      <c r="Z48" s="85">
        <v>1.28</v>
      </c>
      <c r="AA48" s="86">
        <v>4.9099999999999998E-2</v>
      </c>
      <c r="AB48" s="85">
        <v>1.34</v>
      </c>
      <c r="AC48" s="87">
        <v>0.42559999999999998</v>
      </c>
      <c r="AD48" s="86">
        <v>0.40770000000000001</v>
      </c>
      <c r="AE48" s="86">
        <v>0.25750000000000001</v>
      </c>
      <c r="AG48" s="171">
        <v>41061</v>
      </c>
      <c r="AH48" s="177">
        <v>1310</v>
      </c>
      <c r="AI48" s="181">
        <v>1.55E-2</v>
      </c>
      <c r="AJ48" s="177">
        <v>66.290000000000006</v>
      </c>
      <c r="AK48" s="85">
        <v>74.069999999999993</v>
      </c>
      <c r="AL48" s="85"/>
      <c r="AM48" s="181">
        <v>7.1800000000000003E-2</v>
      </c>
      <c r="AN48" s="86"/>
      <c r="AO48" s="179">
        <v>2012</v>
      </c>
    </row>
    <row r="49" spans="1:41" x14ac:dyDescent="0.3">
      <c r="A49" s="126" t="s">
        <v>303</v>
      </c>
      <c r="B49" s="126">
        <v>70.84</v>
      </c>
      <c r="C49" s="170">
        <v>46784</v>
      </c>
      <c r="D49" s="126">
        <v>2028</v>
      </c>
      <c r="E49" s="126">
        <v>2</v>
      </c>
      <c r="F49" s="126" t="s">
        <v>576</v>
      </c>
      <c r="H49" s="127">
        <v>2070</v>
      </c>
      <c r="I49" s="172">
        <v>0.03</v>
      </c>
      <c r="J49" s="172">
        <v>0.02</v>
      </c>
      <c r="K49" s="174">
        <f t="shared" si="3"/>
        <v>7.6829215688797454</v>
      </c>
      <c r="L49" s="172">
        <v>8.5000000000000006E-2</v>
      </c>
      <c r="N49" s="170">
        <v>44991</v>
      </c>
      <c r="O49" s="174">
        <v>86.18</v>
      </c>
      <c r="P49" s="126">
        <v>2023</v>
      </c>
      <c r="Q49" s="126">
        <v>3</v>
      </c>
      <c r="R49" s="126" t="s">
        <v>138</v>
      </c>
      <c r="T49" s="126">
        <v>2022</v>
      </c>
      <c r="U49" s="126" t="s">
        <v>434</v>
      </c>
      <c r="V49" s="127">
        <v>206</v>
      </c>
      <c r="W49" s="128">
        <v>0.69</v>
      </c>
      <c r="X49" s="129">
        <v>0.41220000000000001</v>
      </c>
      <c r="Y49" s="129">
        <v>0.15160000000000001</v>
      </c>
      <c r="Z49" s="128">
        <v>0.53</v>
      </c>
      <c r="AA49" s="129">
        <v>0.13500000000000001</v>
      </c>
      <c r="AB49" s="128">
        <v>0.61</v>
      </c>
      <c r="AC49" s="130">
        <v>0.2681</v>
      </c>
      <c r="AD49" s="129">
        <v>0.25269999999999998</v>
      </c>
      <c r="AE49" s="129">
        <v>0.12479999999999999</v>
      </c>
      <c r="AG49" s="170">
        <v>41091</v>
      </c>
      <c r="AH49" s="176">
        <v>1362</v>
      </c>
      <c r="AI49" s="180">
        <v>1.6500000000000001E-2</v>
      </c>
      <c r="AJ49" s="176">
        <v>64.06</v>
      </c>
      <c r="AK49" s="128">
        <v>71.55</v>
      </c>
      <c r="AL49" s="128"/>
      <c r="AM49" s="180">
        <v>6.5600000000000006E-2</v>
      </c>
      <c r="AN49" s="129"/>
      <c r="AO49" s="178">
        <v>2012</v>
      </c>
    </row>
    <row r="50" spans="1:41" x14ac:dyDescent="0.3">
      <c r="A50" s="83" t="s">
        <v>302</v>
      </c>
      <c r="B50" s="83">
        <v>70.75</v>
      </c>
      <c r="C50" s="171">
        <v>46813</v>
      </c>
      <c r="D50" s="83">
        <v>2028</v>
      </c>
      <c r="E50" s="83">
        <v>3</v>
      </c>
      <c r="F50" s="83" t="s">
        <v>576</v>
      </c>
      <c r="H50" s="84">
        <v>2071</v>
      </c>
      <c r="I50" s="173">
        <v>0.03</v>
      </c>
      <c r="J50" s="173">
        <v>0.02</v>
      </c>
      <c r="K50" s="175">
        <f t="shared" si="3"/>
        <v>7.7582443293589582</v>
      </c>
      <c r="L50" s="173">
        <v>8.5000000000000006E-2</v>
      </c>
      <c r="N50" s="171">
        <v>44992</v>
      </c>
      <c r="O50" s="175">
        <v>83.29</v>
      </c>
      <c r="P50" s="83">
        <v>2023</v>
      </c>
      <c r="Q50" s="83">
        <v>3</v>
      </c>
      <c r="R50" s="83" t="s">
        <v>138</v>
      </c>
      <c r="T50" s="83">
        <v>2022</v>
      </c>
      <c r="U50" s="83" t="s">
        <v>435</v>
      </c>
      <c r="V50" s="84">
        <v>142</v>
      </c>
      <c r="W50" s="85">
        <v>0.9</v>
      </c>
      <c r="X50" s="86">
        <v>0.98480000000000001</v>
      </c>
      <c r="Y50" s="86">
        <v>0.1338</v>
      </c>
      <c r="Z50" s="85">
        <v>0.52</v>
      </c>
      <c r="AA50" s="86">
        <v>0.34839999999999999</v>
      </c>
      <c r="AB50" s="85">
        <v>0.8</v>
      </c>
      <c r="AC50" s="87">
        <v>0.2848</v>
      </c>
      <c r="AD50" s="86">
        <v>0.23899999999999999</v>
      </c>
      <c r="AE50" s="86">
        <v>0.22220000000000001</v>
      </c>
      <c r="AG50" s="171">
        <v>41122</v>
      </c>
      <c r="AH50" s="177">
        <v>1379</v>
      </c>
      <c r="AI50" s="181">
        <v>1.47E-2</v>
      </c>
      <c r="AJ50" s="177">
        <v>64.06</v>
      </c>
      <c r="AK50" s="85">
        <v>71.55</v>
      </c>
      <c r="AL50" s="85"/>
      <c r="AM50" s="181">
        <v>6.5600000000000006E-2</v>
      </c>
      <c r="AN50" s="86"/>
      <c r="AO50" s="179">
        <v>2012</v>
      </c>
    </row>
    <row r="51" spans="1:41" x14ac:dyDescent="0.3">
      <c r="A51" s="126" t="s">
        <v>301</v>
      </c>
      <c r="B51" s="126">
        <v>70.64</v>
      </c>
      <c r="C51" s="170">
        <v>46844</v>
      </c>
      <c r="D51" s="126">
        <v>2028</v>
      </c>
      <c r="E51" s="126">
        <v>4</v>
      </c>
      <c r="F51" s="126" t="s">
        <v>577</v>
      </c>
      <c r="H51" s="127">
        <v>2072</v>
      </c>
      <c r="I51" s="172">
        <v>0.03</v>
      </c>
      <c r="J51" s="172">
        <v>0.02</v>
      </c>
      <c r="K51" s="174">
        <f t="shared" si="3"/>
        <v>7.8343055482742416</v>
      </c>
      <c r="L51" s="172">
        <v>8.5000000000000006E-2</v>
      </c>
      <c r="N51" s="170">
        <v>44993</v>
      </c>
      <c r="O51" s="174">
        <v>82.19</v>
      </c>
      <c r="P51" s="126">
        <v>2023</v>
      </c>
      <c r="Q51" s="126">
        <v>3</v>
      </c>
      <c r="R51" s="126" t="s">
        <v>138</v>
      </c>
      <c r="T51" s="126">
        <v>2022</v>
      </c>
      <c r="U51" s="126" t="s">
        <v>436</v>
      </c>
      <c r="V51" s="127">
        <v>235</v>
      </c>
      <c r="W51" s="128">
        <v>0.75</v>
      </c>
      <c r="X51" s="129">
        <v>0.25280000000000002</v>
      </c>
      <c r="Y51" s="129">
        <v>0.15809999999999999</v>
      </c>
      <c r="Z51" s="128">
        <v>0.63</v>
      </c>
      <c r="AA51" s="129">
        <v>9.2999999999999999E-2</v>
      </c>
      <c r="AB51" s="128">
        <v>0.69</v>
      </c>
      <c r="AC51" s="130">
        <v>0.30059999999999998</v>
      </c>
      <c r="AD51" s="129">
        <v>0.26690000000000003</v>
      </c>
      <c r="AE51" s="129">
        <v>0.1666</v>
      </c>
      <c r="AG51" s="170">
        <v>41153</v>
      </c>
      <c r="AH51" s="176">
        <v>1407</v>
      </c>
      <c r="AI51" s="180">
        <v>1.55E-2</v>
      </c>
      <c r="AJ51" s="176">
        <v>64.06</v>
      </c>
      <c r="AK51" s="128">
        <v>71.55</v>
      </c>
      <c r="AL51" s="128"/>
      <c r="AM51" s="180">
        <v>6.5600000000000006E-2</v>
      </c>
      <c r="AN51" s="129"/>
      <c r="AO51" s="178">
        <v>2012</v>
      </c>
    </row>
    <row r="52" spans="1:41" x14ac:dyDescent="0.3">
      <c r="A52" s="83" t="s">
        <v>300</v>
      </c>
      <c r="B52" s="83">
        <v>70.55</v>
      </c>
      <c r="C52" s="171">
        <v>46874</v>
      </c>
      <c r="D52" s="83">
        <v>2028</v>
      </c>
      <c r="E52" s="83">
        <v>5</v>
      </c>
      <c r="F52" s="83" t="s">
        <v>577</v>
      </c>
      <c r="H52" s="84">
        <v>2073</v>
      </c>
      <c r="I52" s="173">
        <v>0.03</v>
      </c>
      <c r="J52" s="173">
        <v>0.02</v>
      </c>
      <c r="K52" s="175">
        <f t="shared" si="3"/>
        <v>7.9111124654141856</v>
      </c>
      <c r="L52" s="173">
        <v>8.5000000000000006E-2</v>
      </c>
      <c r="N52" s="171">
        <v>44994</v>
      </c>
      <c r="O52" s="175">
        <v>81.09</v>
      </c>
      <c r="P52" s="83">
        <v>2023</v>
      </c>
      <c r="Q52" s="83">
        <v>3</v>
      </c>
      <c r="R52" s="83" t="s">
        <v>138</v>
      </c>
      <c r="T52" s="83">
        <v>2022</v>
      </c>
      <c r="U52" s="83" t="s">
        <v>485</v>
      </c>
      <c r="V52" s="84">
        <v>1660</v>
      </c>
      <c r="W52" s="85">
        <v>0.79</v>
      </c>
      <c r="X52" s="86">
        <v>0.76239999999999997</v>
      </c>
      <c r="Y52" s="86">
        <v>5.7599999999999998E-2</v>
      </c>
      <c r="Z52" s="85">
        <v>0.5</v>
      </c>
      <c r="AA52" s="86">
        <v>0.10970000000000001</v>
      </c>
      <c r="AB52" s="85">
        <v>0.56999999999999995</v>
      </c>
      <c r="AC52" s="87">
        <v>0.2576</v>
      </c>
      <c r="AD52" s="86">
        <v>0.26550000000000001</v>
      </c>
      <c r="AE52" s="86">
        <v>0.3412</v>
      </c>
      <c r="AG52" s="171">
        <v>41183</v>
      </c>
      <c r="AH52" s="177">
        <v>1441</v>
      </c>
      <c r="AI52" s="181">
        <v>1.6199999999999999E-2</v>
      </c>
      <c r="AJ52" s="177">
        <v>67.739999999999995</v>
      </c>
      <c r="AK52" s="85">
        <v>72.739999999999995</v>
      </c>
      <c r="AL52" s="85"/>
      <c r="AM52" s="181">
        <v>6.5600000000000006E-2</v>
      </c>
      <c r="AN52" s="86"/>
      <c r="AO52" s="179">
        <v>2012</v>
      </c>
    </row>
    <row r="53" spans="1:41" x14ac:dyDescent="0.3">
      <c r="A53" s="126" t="s">
        <v>299</v>
      </c>
      <c r="B53" s="126">
        <v>70.489999999999995</v>
      </c>
      <c r="C53" s="170">
        <v>46905</v>
      </c>
      <c r="D53" s="126">
        <v>2028</v>
      </c>
      <c r="E53" s="126">
        <v>6</v>
      </c>
      <c r="F53" s="126" t="s">
        <v>577</v>
      </c>
      <c r="H53" s="127">
        <v>2074</v>
      </c>
      <c r="I53" s="172">
        <v>0.03</v>
      </c>
      <c r="J53" s="172">
        <v>0.02</v>
      </c>
      <c r="K53" s="174">
        <f t="shared" si="3"/>
        <v>7.9886723915456974</v>
      </c>
      <c r="L53" s="172">
        <v>8.5000000000000006E-2</v>
      </c>
      <c r="N53" s="170">
        <v>44995</v>
      </c>
      <c r="O53" s="174">
        <v>82.16</v>
      </c>
      <c r="P53" s="126">
        <v>2023</v>
      </c>
      <c r="Q53" s="126">
        <v>3</v>
      </c>
      <c r="R53" s="126" t="s">
        <v>138</v>
      </c>
      <c r="T53" s="126">
        <v>2022</v>
      </c>
      <c r="U53" s="126" t="s">
        <v>437</v>
      </c>
      <c r="V53" s="127">
        <v>1463</v>
      </c>
      <c r="W53" s="128">
        <v>1.1000000000000001</v>
      </c>
      <c r="X53" s="129">
        <v>0.1726</v>
      </c>
      <c r="Y53" s="129">
        <v>0.15890000000000001</v>
      </c>
      <c r="Z53" s="128">
        <v>0.98</v>
      </c>
      <c r="AA53" s="129">
        <v>8.2400000000000001E-2</v>
      </c>
      <c r="AB53" s="128">
        <v>1.06</v>
      </c>
      <c r="AC53" s="130">
        <v>0.32919999999999999</v>
      </c>
      <c r="AD53" s="129">
        <v>0.31619999999999998</v>
      </c>
      <c r="AE53" s="129">
        <v>0.1545</v>
      </c>
      <c r="AG53" s="170">
        <v>41214</v>
      </c>
      <c r="AH53" s="176">
        <v>1412</v>
      </c>
      <c r="AI53" s="180">
        <v>1.7500000000000002E-2</v>
      </c>
      <c r="AJ53" s="176">
        <v>67.739999999999995</v>
      </c>
      <c r="AK53" s="128">
        <v>72.739999999999995</v>
      </c>
      <c r="AL53" s="128"/>
      <c r="AM53" s="180">
        <v>6.5600000000000006E-2</v>
      </c>
      <c r="AN53" s="129"/>
      <c r="AO53" s="178">
        <v>2012</v>
      </c>
    </row>
    <row r="54" spans="1:41" x14ac:dyDescent="0.3">
      <c r="A54" s="83" t="s">
        <v>298</v>
      </c>
      <c r="B54" s="83">
        <v>70.41</v>
      </c>
      <c r="C54" s="171">
        <v>46935</v>
      </c>
      <c r="D54" s="83">
        <v>2028</v>
      </c>
      <c r="E54" s="83">
        <v>7</v>
      </c>
      <c r="F54" s="83" t="s">
        <v>578</v>
      </c>
      <c r="H54" s="84">
        <v>2075</v>
      </c>
      <c r="I54" s="173">
        <v>0.03</v>
      </c>
      <c r="J54" s="173">
        <v>0.02</v>
      </c>
      <c r="K54" s="175">
        <f t="shared" si="3"/>
        <v>8.0669927091098721</v>
      </c>
      <c r="L54" s="173">
        <v>8.5000000000000006E-2</v>
      </c>
      <c r="N54" s="171">
        <v>44998</v>
      </c>
      <c r="O54" s="175">
        <v>80.23</v>
      </c>
      <c r="P54" s="83">
        <v>2023</v>
      </c>
      <c r="Q54" s="83">
        <v>3</v>
      </c>
      <c r="R54" s="83" t="s">
        <v>138</v>
      </c>
      <c r="T54" s="83">
        <v>2022</v>
      </c>
      <c r="U54" s="83" t="s">
        <v>438</v>
      </c>
      <c r="V54" s="84">
        <v>1783</v>
      </c>
      <c r="W54" s="85">
        <v>1.2</v>
      </c>
      <c r="X54" s="86">
        <v>0.26600000000000001</v>
      </c>
      <c r="Y54" s="86">
        <v>4.36E-2</v>
      </c>
      <c r="Z54" s="85">
        <v>1</v>
      </c>
      <c r="AA54" s="86">
        <v>0.10059999999999999</v>
      </c>
      <c r="AB54" s="85">
        <v>1.1100000000000001</v>
      </c>
      <c r="AC54" s="87">
        <v>0.50719999999999998</v>
      </c>
      <c r="AD54" s="86">
        <v>0.6169</v>
      </c>
      <c r="AE54" s="86">
        <v>0.52429999999999999</v>
      </c>
      <c r="AG54" s="171">
        <v>41244</v>
      </c>
      <c r="AH54" s="177">
        <v>1416</v>
      </c>
      <c r="AI54" s="181">
        <v>1.6199999999999999E-2</v>
      </c>
      <c r="AJ54" s="177">
        <v>67.739999999999995</v>
      </c>
      <c r="AK54" s="85">
        <v>72.739999999999995</v>
      </c>
      <c r="AL54" s="85"/>
      <c r="AM54" s="181">
        <v>6.5600000000000006E-2</v>
      </c>
      <c r="AN54" s="86"/>
      <c r="AO54" s="179">
        <v>2012</v>
      </c>
    </row>
    <row r="55" spans="1:41" x14ac:dyDescent="0.3">
      <c r="A55" s="126" t="s">
        <v>297</v>
      </c>
      <c r="B55" s="126">
        <v>70.33</v>
      </c>
      <c r="C55" s="170">
        <v>46966</v>
      </c>
      <c r="D55" s="126">
        <v>2028</v>
      </c>
      <c r="E55" s="126">
        <v>8</v>
      </c>
      <c r="F55" s="126" t="s">
        <v>578</v>
      </c>
      <c r="H55" s="127">
        <v>2076</v>
      </c>
      <c r="I55" s="172">
        <v>0.03</v>
      </c>
      <c r="J55" s="172">
        <v>0.02</v>
      </c>
      <c r="K55" s="174">
        <f t="shared" si="3"/>
        <v>8.1460808729246743</v>
      </c>
      <c r="L55" s="172">
        <v>8.5000000000000006E-2</v>
      </c>
      <c r="N55" s="170">
        <v>44999</v>
      </c>
      <c r="O55" s="174">
        <v>77</v>
      </c>
      <c r="P55" s="126">
        <v>2023</v>
      </c>
      <c r="Q55" s="126">
        <v>3</v>
      </c>
      <c r="R55" s="126" t="s">
        <v>138</v>
      </c>
      <c r="T55" s="126">
        <v>2022</v>
      </c>
      <c r="U55" s="126" t="s">
        <v>439</v>
      </c>
      <c r="V55" s="127">
        <v>144</v>
      </c>
      <c r="W55" s="128">
        <v>0.93</v>
      </c>
      <c r="X55" s="129">
        <v>0.3357</v>
      </c>
      <c r="Y55" s="129">
        <v>0.17430000000000001</v>
      </c>
      <c r="Z55" s="128">
        <v>0.74</v>
      </c>
      <c r="AA55" s="129">
        <v>0.115</v>
      </c>
      <c r="AB55" s="128">
        <v>0.83</v>
      </c>
      <c r="AC55" s="130">
        <v>0.34689999999999999</v>
      </c>
      <c r="AD55" s="129">
        <v>0.33110000000000001</v>
      </c>
      <c r="AE55" s="129">
        <v>8.2900000000000001E-2</v>
      </c>
      <c r="AG55" s="170">
        <v>41275</v>
      </c>
      <c r="AH55" s="176">
        <v>1426</v>
      </c>
      <c r="AI55" s="180">
        <v>1.7600000000000001E-2</v>
      </c>
      <c r="AJ55" s="176">
        <v>69.459999999999994</v>
      </c>
      <c r="AK55" s="128">
        <v>72.25</v>
      </c>
      <c r="AL55" s="128"/>
      <c r="AM55" s="180">
        <v>5.2699999999999997E-2</v>
      </c>
      <c r="AN55" s="129"/>
      <c r="AO55" s="178">
        <v>2013</v>
      </c>
    </row>
    <row r="56" spans="1:41" x14ac:dyDescent="0.3">
      <c r="A56" s="83" t="s">
        <v>296</v>
      </c>
      <c r="B56" s="83">
        <v>70.239999999999995</v>
      </c>
      <c r="C56" s="171">
        <v>46997</v>
      </c>
      <c r="D56" s="83">
        <v>2028</v>
      </c>
      <c r="E56" s="83">
        <v>9</v>
      </c>
      <c r="F56" s="83" t="s">
        <v>578</v>
      </c>
      <c r="H56" s="84">
        <v>2077</v>
      </c>
      <c r="I56" s="173">
        <v>0.03</v>
      </c>
      <c r="J56" s="173">
        <v>0.02</v>
      </c>
      <c r="K56" s="175">
        <f t="shared" si="3"/>
        <v>8.2259444108945239</v>
      </c>
      <c r="L56" s="173">
        <v>8.5000000000000006E-2</v>
      </c>
      <c r="N56" s="171">
        <v>45000</v>
      </c>
      <c r="O56" s="175">
        <v>73.28</v>
      </c>
      <c r="P56" s="83">
        <v>2023</v>
      </c>
      <c r="Q56" s="83">
        <v>3</v>
      </c>
      <c r="R56" s="83" t="s">
        <v>138</v>
      </c>
      <c r="T56" s="83">
        <v>2022</v>
      </c>
      <c r="U56" s="83" t="s">
        <v>440</v>
      </c>
      <c r="V56" s="84">
        <v>36</v>
      </c>
      <c r="W56" s="85">
        <v>1.08</v>
      </c>
      <c r="X56" s="86">
        <v>0.1943</v>
      </c>
      <c r="Y56" s="86">
        <v>0.2576</v>
      </c>
      <c r="Z56" s="85">
        <v>0.95</v>
      </c>
      <c r="AA56" s="86">
        <v>7.7899999999999997E-2</v>
      </c>
      <c r="AB56" s="85">
        <v>1.03</v>
      </c>
      <c r="AC56" s="87">
        <v>0.30420000000000003</v>
      </c>
      <c r="AD56" s="86">
        <v>0.29070000000000001</v>
      </c>
      <c r="AE56" s="86">
        <v>0.55279999999999996</v>
      </c>
      <c r="AG56" s="171">
        <v>41306</v>
      </c>
      <c r="AH56" s="177">
        <v>1498</v>
      </c>
      <c r="AI56" s="181">
        <v>0.02</v>
      </c>
      <c r="AJ56" s="177">
        <v>69.459999999999994</v>
      </c>
      <c r="AK56" s="85">
        <v>72.25</v>
      </c>
      <c r="AL56" s="85"/>
      <c r="AM56" s="181">
        <v>5.2699999999999997E-2</v>
      </c>
      <c r="AN56" s="86"/>
      <c r="AO56" s="179">
        <v>2013</v>
      </c>
    </row>
    <row r="57" spans="1:41" x14ac:dyDescent="0.3">
      <c r="A57" s="126" t="s">
        <v>295</v>
      </c>
      <c r="B57" s="126">
        <v>70.16</v>
      </c>
      <c r="C57" s="170">
        <v>47027</v>
      </c>
      <c r="D57" s="126">
        <v>2028</v>
      </c>
      <c r="E57" s="126">
        <v>10</v>
      </c>
      <c r="F57" s="126" t="s">
        <v>579</v>
      </c>
      <c r="H57" s="127">
        <v>2078</v>
      </c>
      <c r="I57" s="172">
        <v>0.03</v>
      </c>
      <c r="J57" s="172">
        <v>0.02</v>
      </c>
      <c r="K57" s="174">
        <f t="shared" si="3"/>
        <v>8.306590924726823</v>
      </c>
      <c r="L57" s="172">
        <v>8.5000000000000006E-2</v>
      </c>
      <c r="N57" s="170">
        <v>45001</v>
      </c>
      <c r="O57" s="174">
        <v>74.290000000000006</v>
      </c>
      <c r="P57" s="126">
        <v>2023</v>
      </c>
      <c r="Q57" s="126">
        <v>3</v>
      </c>
      <c r="R57" s="126" t="s">
        <v>138</v>
      </c>
      <c r="T57" s="126">
        <v>2022</v>
      </c>
      <c r="U57" s="126" t="s">
        <v>441</v>
      </c>
      <c r="V57" s="127">
        <v>616</v>
      </c>
      <c r="W57" s="128">
        <v>1.31</v>
      </c>
      <c r="X57" s="129">
        <v>0.2621</v>
      </c>
      <c r="Y57" s="129">
        <v>7.7299999999999994E-2</v>
      </c>
      <c r="Z57" s="128">
        <v>1.0900000000000001</v>
      </c>
      <c r="AA57" s="129">
        <v>6.9099999999999995E-2</v>
      </c>
      <c r="AB57" s="128">
        <v>1.17</v>
      </c>
      <c r="AC57" s="130">
        <v>0.49630000000000002</v>
      </c>
      <c r="AD57" s="129">
        <v>0.57620000000000005</v>
      </c>
      <c r="AE57" s="129">
        <v>1.266</v>
      </c>
      <c r="AG57" s="170">
        <v>41334</v>
      </c>
      <c r="AH57" s="176">
        <v>1515</v>
      </c>
      <c r="AI57" s="180">
        <v>1.8800000000000001E-2</v>
      </c>
      <c r="AJ57" s="176">
        <v>69.459999999999994</v>
      </c>
      <c r="AK57" s="128">
        <v>72.25</v>
      </c>
      <c r="AL57" s="128"/>
      <c r="AM57" s="180">
        <v>5.3199999999999997E-2</v>
      </c>
      <c r="AN57" s="129"/>
      <c r="AO57" s="178">
        <v>2013</v>
      </c>
    </row>
    <row r="58" spans="1:41" x14ac:dyDescent="0.3">
      <c r="A58" s="83" t="s">
        <v>294</v>
      </c>
      <c r="B58" s="83">
        <v>70.099999999999994</v>
      </c>
      <c r="C58" s="171">
        <v>47058</v>
      </c>
      <c r="D58" s="83">
        <v>2028</v>
      </c>
      <c r="E58" s="83">
        <v>11</v>
      </c>
      <c r="F58" s="83" t="s">
        <v>579</v>
      </c>
      <c r="H58" s="84">
        <v>2079</v>
      </c>
      <c r="I58" s="173">
        <v>0.03</v>
      </c>
      <c r="J58" s="173">
        <v>0.02</v>
      </c>
      <c r="K58" s="175">
        <f t="shared" si="3"/>
        <v>8.3880280906555171</v>
      </c>
      <c r="L58" s="173">
        <v>8.5000000000000006E-2</v>
      </c>
      <c r="N58" s="171">
        <v>45002</v>
      </c>
      <c r="O58" s="175">
        <v>72.77</v>
      </c>
      <c r="P58" s="83">
        <v>2023</v>
      </c>
      <c r="Q58" s="83">
        <v>3</v>
      </c>
      <c r="R58" s="83" t="s">
        <v>138</v>
      </c>
      <c r="T58" s="83">
        <v>2022</v>
      </c>
      <c r="U58" s="83" t="s">
        <v>442</v>
      </c>
      <c r="V58" s="84">
        <v>166</v>
      </c>
      <c r="W58" s="85">
        <v>0.96</v>
      </c>
      <c r="X58" s="86">
        <v>0.73209999999999997</v>
      </c>
      <c r="Y58" s="86">
        <v>0.1172</v>
      </c>
      <c r="Z58" s="85">
        <v>0.62</v>
      </c>
      <c r="AA58" s="86">
        <v>3.4700000000000002E-2</v>
      </c>
      <c r="AB58" s="85">
        <v>0.64</v>
      </c>
      <c r="AC58" s="87">
        <v>0.36809999999999998</v>
      </c>
      <c r="AD58" s="86">
        <v>0.31690000000000002</v>
      </c>
      <c r="AE58" s="86">
        <v>0.29730000000000001</v>
      </c>
      <c r="AG58" s="171">
        <v>41365</v>
      </c>
      <c r="AH58" s="177">
        <v>1569</v>
      </c>
      <c r="AI58" s="181">
        <v>1.8499999999999999E-2</v>
      </c>
      <c r="AJ58" s="177">
        <v>76.760000000000005</v>
      </c>
      <c r="AK58" s="85">
        <v>75.31</v>
      </c>
      <c r="AL58" s="85"/>
      <c r="AM58" s="181">
        <v>5.3100000000000001E-2</v>
      </c>
      <c r="AN58" s="86"/>
      <c r="AO58" s="179">
        <v>2013</v>
      </c>
    </row>
    <row r="59" spans="1:41" x14ac:dyDescent="0.3">
      <c r="A59" s="126" t="s">
        <v>293</v>
      </c>
      <c r="B59" s="126">
        <v>70.06</v>
      </c>
      <c r="C59" s="170">
        <v>47088</v>
      </c>
      <c r="D59" s="126">
        <v>2028</v>
      </c>
      <c r="E59" s="126">
        <v>12</v>
      </c>
      <c r="F59" s="126" t="s">
        <v>579</v>
      </c>
      <c r="H59" s="127">
        <v>2080</v>
      </c>
      <c r="I59" s="172">
        <v>0.03</v>
      </c>
      <c r="J59" s="172">
        <v>0.02</v>
      </c>
      <c r="K59" s="174">
        <f t="shared" si="3"/>
        <v>8.4702636601717494</v>
      </c>
      <c r="L59" s="172">
        <v>8.5000000000000006E-2</v>
      </c>
      <c r="N59" s="170">
        <v>45005</v>
      </c>
      <c r="O59" s="174">
        <v>73.540000000000006</v>
      </c>
      <c r="P59" s="126">
        <v>2023</v>
      </c>
      <c r="Q59" s="126">
        <v>3</v>
      </c>
      <c r="R59" s="126" t="s">
        <v>138</v>
      </c>
      <c r="T59" s="126">
        <v>2022</v>
      </c>
      <c r="U59" s="126" t="s">
        <v>443</v>
      </c>
      <c r="V59" s="127">
        <v>455</v>
      </c>
      <c r="W59" s="128">
        <v>1.1499999999999999</v>
      </c>
      <c r="X59" s="129">
        <v>0.46589999999999998</v>
      </c>
      <c r="Y59" s="129">
        <v>0.1216</v>
      </c>
      <c r="Z59" s="128">
        <v>0.85</v>
      </c>
      <c r="AA59" s="129">
        <v>7.6700000000000004E-2</v>
      </c>
      <c r="AB59" s="128">
        <v>0.92</v>
      </c>
      <c r="AC59" s="130">
        <v>0.39739999999999998</v>
      </c>
      <c r="AD59" s="129">
        <v>0.38679999999999998</v>
      </c>
      <c r="AE59" s="129">
        <v>0.38540000000000002</v>
      </c>
      <c r="AG59" s="170">
        <v>41395</v>
      </c>
      <c r="AH59" s="176">
        <v>1598</v>
      </c>
      <c r="AI59" s="180">
        <v>1.6500000000000001E-2</v>
      </c>
      <c r="AJ59" s="176">
        <v>76.760000000000005</v>
      </c>
      <c r="AK59" s="128">
        <v>75.31</v>
      </c>
      <c r="AL59" s="128"/>
      <c r="AM59" s="180">
        <v>5.2299999999999999E-2</v>
      </c>
      <c r="AN59" s="129"/>
      <c r="AO59" s="178">
        <v>2013</v>
      </c>
    </row>
    <row r="60" spans="1:41" x14ac:dyDescent="0.3">
      <c r="A60" s="83" t="s">
        <v>292</v>
      </c>
      <c r="B60" s="83">
        <v>70.040000000000006</v>
      </c>
      <c r="C60" s="171">
        <v>47119</v>
      </c>
      <c r="D60" s="83">
        <v>2029</v>
      </c>
      <c r="E60" s="83">
        <v>1</v>
      </c>
      <c r="F60" s="83" t="s">
        <v>580</v>
      </c>
      <c r="N60" s="171">
        <v>45006</v>
      </c>
      <c r="O60" s="175">
        <v>75.03</v>
      </c>
      <c r="P60" s="83">
        <v>2023</v>
      </c>
      <c r="Q60" s="83">
        <v>3</v>
      </c>
      <c r="R60" s="83" t="s">
        <v>138</v>
      </c>
      <c r="T60" s="83">
        <v>2022</v>
      </c>
      <c r="U60" s="83" t="s">
        <v>444</v>
      </c>
      <c r="V60" s="84">
        <v>414</v>
      </c>
      <c r="W60" s="85">
        <v>0.84</v>
      </c>
      <c r="X60" s="86">
        <v>0.4894</v>
      </c>
      <c r="Y60" s="86">
        <v>0.1648</v>
      </c>
      <c r="Z60" s="85">
        <v>0.61</v>
      </c>
      <c r="AA60" s="86">
        <v>5.3900000000000003E-2</v>
      </c>
      <c r="AB60" s="85">
        <v>0.65</v>
      </c>
      <c r="AC60" s="87">
        <v>0.32700000000000001</v>
      </c>
      <c r="AD60" s="86">
        <v>0.29449999999999998</v>
      </c>
      <c r="AE60" s="86">
        <v>0.14510000000000001</v>
      </c>
      <c r="AG60" s="171">
        <v>41426</v>
      </c>
      <c r="AH60" s="177">
        <v>1631</v>
      </c>
      <c r="AI60" s="181">
        <v>2.1399999999999999E-2</v>
      </c>
      <c r="AJ60" s="177">
        <v>76.760000000000005</v>
      </c>
      <c r="AK60" s="85">
        <v>75.31</v>
      </c>
      <c r="AL60" s="85"/>
      <c r="AM60" s="181">
        <v>5.4300000000000001E-2</v>
      </c>
      <c r="AN60" s="86"/>
      <c r="AO60" s="179">
        <v>2013</v>
      </c>
    </row>
    <row r="61" spans="1:41" x14ac:dyDescent="0.3">
      <c r="A61" s="126" t="s">
        <v>354</v>
      </c>
      <c r="B61" s="126">
        <v>70.02</v>
      </c>
      <c r="C61" s="170">
        <v>47150</v>
      </c>
      <c r="D61" s="126">
        <v>2029</v>
      </c>
      <c r="E61" s="126">
        <v>2</v>
      </c>
      <c r="F61" s="126" t="s">
        <v>580</v>
      </c>
      <c r="N61" s="170">
        <v>45007</v>
      </c>
      <c r="O61" s="174">
        <v>76.38</v>
      </c>
      <c r="P61" s="126">
        <v>2023</v>
      </c>
      <c r="Q61" s="126">
        <v>3</v>
      </c>
      <c r="R61" s="126" t="s">
        <v>138</v>
      </c>
      <c r="T61" s="126">
        <v>2022</v>
      </c>
      <c r="U61" s="126" t="s">
        <v>445</v>
      </c>
      <c r="V61" s="127">
        <v>268</v>
      </c>
      <c r="W61" s="128">
        <v>0.99</v>
      </c>
      <c r="X61" s="129">
        <v>0.6139</v>
      </c>
      <c r="Y61" s="129">
        <v>0.15820000000000001</v>
      </c>
      <c r="Z61" s="128">
        <v>0.68</v>
      </c>
      <c r="AA61" s="129">
        <v>9.7299999999999998E-2</v>
      </c>
      <c r="AB61" s="128">
        <v>0.75</v>
      </c>
      <c r="AC61" s="130">
        <v>0.33689999999999998</v>
      </c>
      <c r="AD61" s="129">
        <v>0.31190000000000001</v>
      </c>
      <c r="AE61" s="129">
        <v>0.40689999999999998</v>
      </c>
      <c r="AG61" s="170">
        <v>41456</v>
      </c>
      <c r="AH61" s="176">
        <v>1606</v>
      </c>
      <c r="AI61" s="180">
        <v>2.4899999999999999E-2</v>
      </c>
      <c r="AJ61" s="176">
        <v>78.66</v>
      </c>
      <c r="AK61" s="128">
        <v>78.58</v>
      </c>
      <c r="AL61" s="128"/>
      <c r="AM61" s="180">
        <v>5.57E-2</v>
      </c>
      <c r="AN61" s="129"/>
      <c r="AO61" s="178">
        <v>2013</v>
      </c>
    </row>
    <row r="62" spans="1:41" x14ac:dyDescent="0.3">
      <c r="A62" s="83" t="s">
        <v>360</v>
      </c>
      <c r="B62" s="83">
        <v>70</v>
      </c>
      <c r="C62" s="171">
        <v>47178</v>
      </c>
      <c r="D62" s="83">
        <v>2029</v>
      </c>
      <c r="E62" s="83">
        <v>3</v>
      </c>
      <c r="F62" s="83" t="s">
        <v>580</v>
      </c>
      <c r="N62" s="171">
        <v>45008</v>
      </c>
      <c r="O62" s="175">
        <v>75.5</v>
      </c>
      <c r="P62" s="83">
        <v>2023</v>
      </c>
      <c r="Q62" s="83">
        <v>3</v>
      </c>
      <c r="R62" s="83" t="s">
        <v>138</v>
      </c>
      <c r="T62" s="83">
        <v>2022</v>
      </c>
      <c r="U62" s="83" t="s">
        <v>446</v>
      </c>
      <c r="V62" s="84">
        <v>485</v>
      </c>
      <c r="W62" s="85">
        <v>0.73</v>
      </c>
      <c r="X62" s="86">
        <v>0.96150000000000002</v>
      </c>
      <c r="Y62" s="86">
        <v>0.1467</v>
      </c>
      <c r="Z62" s="85">
        <v>0.42</v>
      </c>
      <c r="AA62" s="86">
        <v>4.6899999999999997E-2</v>
      </c>
      <c r="AB62" s="85">
        <v>0.44</v>
      </c>
      <c r="AC62" s="87">
        <v>0.28560000000000002</v>
      </c>
      <c r="AD62" s="86">
        <v>0.25940000000000002</v>
      </c>
      <c r="AE62" s="86">
        <v>8.4900000000000003E-2</v>
      </c>
      <c r="AG62" s="171">
        <v>41487</v>
      </c>
      <c r="AH62" s="177">
        <v>1686</v>
      </c>
      <c r="AI62" s="181">
        <v>2.5700000000000001E-2</v>
      </c>
      <c r="AJ62" s="177">
        <v>78.66</v>
      </c>
      <c r="AK62" s="85">
        <v>78.58</v>
      </c>
      <c r="AL62" s="85"/>
      <c r="AM62" s="181">
        <v>5.6000000000000001E-2</v>
      </c>
      <c r="AN62" s="86"/>
      <c r="AO62" s="179">
        <v>2013</v>
      </c>
    </row>
    <row r="63" spans="1:41" x14ac:dyDescent="0.3">
      <c r="A63" s="126" t="s">
        <v>355</v>
      </c>
      <c r="B63" s="126">
        <v>69.98</v>
      </c>
      <c r="C63" s="170">
        <v>47209</v>
      </c>
      <c r="D63" s="126">
        <v>2029</v>
      </c>
      <c r="E63" s="126">
        <v>4</v>
      </c>
      <c r="F63" s="126" t="s">
        <v>581</v>
      </c>
      <c r="N63" s="170">
        <v>45009</v>
      </c>
      <c r="O63" s="174">
        <v>74.59</v>
      </c>
      <c r="P63" s="126">
        <v>2023</v>
      </c>
      <c r="Q63" s="126">
        <v>3</v>
      </c>
      <c r="R63" s="126" t="s">
        <v>138</v>
      </c>
      <c r="T63" s="126">
        <v>2022</v>
      </c>
      <c r="U63" s="126" t="s">
        <v>447</v>
      </c>
      <c r="V63" s="127">
        <v>930</v>
      </c>
      <c r="W63" s="128">
        <v>1.1399999999999999</v>
      </c>
      <c r="X63" s="129">
        <v>0.1825</v>
      </c>
      <c r="Y63" s="129">
        <v>4.1200000000000001E-2</v>
      </c>
      <c r="Z63" s="128">
        <v>1</v>
      </c>
      <c r="AA63" s="129">
        <v>8.9200000000000002E-2</v>
      </c>
      <c r="AB63" s="128">
        <v>1.1000000000000001</v>
      </c>
      <c r="AC63" s="130">
        <v>0.54169999999999996</v>
      </c>
      <c r="AD63" s="129">
        <v>0.62909999999999999</v>
      </c>
      <c r="AE63" s="129">
        <v>0.85450000000000004</v>
      </c>
      <c r="AG63" s="170">
        <v>41518</v>
      </c>
      <c r="AH63" s="176">
        <v>1633</v>
      </c>
      <c r="AI63" s="180">
        <v>2.7900000000000001E-2</v>
      </c>
      <c r="AJ63" s="176">
        <v>78.66</v>
      </c>
      <c r="AK63" s="128">
        <v>78.58</v>
      </c>
      <c r="AL63" s="128"/>
      <c r="AM63" s="180">
        <v>5.6899999999999999E-2</v>
      </c>
      <c r="AN63" s="129"/>
      <c r="AO63" s="178">
        <v>2013</v>
      </c>
    </row>
    <row r="64" spans="1:41" x14ac:dyDescent="0.3">
      <c r="A64" s="83" t="s">
        <v>356</v>
      </c>
      <c r="B64" s="83">
        <v>69.97</v>
      </c>
      <c r="C64" s="171">
        <v>47239</v>
      </c>
      <c r="D64" s="83">
        <v>2029</v>
      </c>
      <c r="E64" s="83">
        <v>5</v>
      </c>
      <c r="F64" s="83" t="s">
        <v>581</v>
      </c>
      <c r="N64" s="171">
        <v>45012</v>
      </c>
      <c r="O64" s="175">
        <v>77.760000000000005</v>
      </c>
      <c r="P64" s="83">
        <v>2023</v>
      </c>
      <c r="Q64" s="83">
        <v>3</v>
      </c>
      <c r="R64" s="83" t="s">
        <v>138</v>
      </c>
      <c r="T64" s="83">
        <v>2022</v>
      </c>
      <c r="U64" s="83" t="s">
        <v>494</v>
      </c>
      <c r="V64" s="84">
        <v>327</v>
      </c>
      <c r="W64" s="85">
        <v>0.89</v>
      </c>
      <c r="X64" s="86">
        <v>0.29859999999999998</v>
      </c>
      <c r="Y64" s="86">
        <v>0.13900000000000001</v>
      </c>
      <c r="Z64" s="85">
        <v>0.73</v>
      </c>
      <c r="AA64" s="86">
        <v>0.16470000000000001</v>
      </c>
      <c r="AB64" s="85">
        <v>0.87</v>
      </c>
      <c r="AC64" s="87">
        <v>0.32840000000000003</v>
      </c>
      <c r="AD64" s="86">
        <v>0.31440000000000001</v>
      </c>
      <c r="AE64" s="86">
        <v>8.4699999999999998E-2</v>
      </c>
      <c r="AG64" s="171">
        <v>41548</v>
      </c>
      <c r="AH64" s="177">
        <v>1682</v>
      </c>
      <c r="AI64" s="181">
        <v>2.6100000000000002E-2</v>
      </c>
      <c r="AJ64" s="177">
        <v>82.35</v>
      </c>
      <c r="AK64" s="85">
        <v>80.33</v>
      </c>
      <c r="AL64" s="85"/>
      <c r="AM64" s="181">
        <v>5.62E-2</v>
      </c>
      <c r="AN64" s="86"/>
      <c r="AO64" s="179">
        <v>2013</v>
      </c>
    </row>
    <row r="65" spans="1:41" x14ac:dyDescent="0.3">
      <c r="A65" s="126" t="s">
        <v>361</v>
      </c>
      <c r="B65" s="126">
        <v>69.95</v>
      </c>
      <c r="C65" s="170">
        <v>47270</v>
      </c>
      <c r="D65" s="126">
        <v>2029</v>
      </c>
      <c r="E65" s="126">
        <v>6</v>
      </c>
      <c r="F65" s="126" t="s">
        <v>581</v>
      </c>
      <c r="N65" s="170">
        <v>45013</v>
      </c>
      <c r="O65" s="174">
        <v>78.14</v>
      </c>
      <c r="P65" s="126">
        <v>2023</v>
      </c>
      <c r="Q65" s="126">
        <v>3</v>
      </c>
      <c r="R65" s="126" t="s">
        <v>138</v>
      </c>
      <c r="T65" s="126">
        <v>2022</v>
      </c>
      <c r="U65" s="126" t="s">
        <v>448</v>
      </c>
      <c r="V65" s="127">
        <v>792</v>
      </c>
      <c r="W65" s="128">
        <v>0.79</v>
      </c>
      <c r="X65" s="129">
        <v>0.78359999999999996</v>
      </c>
      <c r="Y65" s="129">
        <v>3.0300000000000001E-2</v>
      </c>
      <c r="Z65" s="128">
        <v>0.5</v>
      </c>
      <c r="AA65" s="129">
        <v>2.1100000000000001E-2</v>
      </c>
      <c r="AB65" s="128">
        <v>0.51</v>
      </c>
      <c r="AC65" s="130">
        <v>0.24010000000000001</v>
      </c>
      <c r="AD65" s="129">
        <v>0.1885</v>
      </c>
      <c r="AE65" s="129">
        <v>0.1928</v>
      </c>
      <c r="AG65" s="170">
        <v>41579</v>
      </c>
      <c r="AH65" s="176">
        <v>1757</v>
      </c>
      <c r="AI65" s="180">
        <v>2.5499999999999998E-2</v>
      </c>
      <c r="AJ65" s="176">
        <v>82.35</v>
      </c>
      <c r="AK65" s="128">
        <v>80.33</v>
      </c>
      <c r="AL65" s="128"/>
      <c r="AM65" s="180">
        <v>5.5899999999999998E-2</v>
      </c>
      <c r="AN65" s="129"/>
      <c r="AO65" s="178">
        <v>2013</v>
      </c>
    </row>
    <row r="66" spans="1:41" x14ac:dyDescent="0.3">
      <c r="A66" s="83" t="s">
        <v>362</v>
      </c>
      <c r="B66" s="83">
        <v>69.930000000000007</v>
      </c>
      <c r="C66" s="171">
        <v>47300</v>
      </c>
      <c r="D66" s="83">
        <v>2029</v>
      </c>
      <c r="E66" s="83">
        <v>7</v>
      </c>
      <c r="F66" s="83" t="s">
        <v>582</v>
      </c>
      <c r="N66" s="171">
        <v>45014</v>
      </c>
      <c r="O66" s="175">
        <v>77.59</v>
      </c>
      <c r="P66" s="83">
        <v>2023</v>
      </c>
      <c r="Q66" s="83">
        <v>3</v>
      </c>
      <c r="R66" s="83" t="s">
        <v>138</v>
      </c>
      <c r="T66" s="83">
        <v>2022</v>
      </c>
      <c r="U66" s="83" t="s">
        <v>449</v>
      </c>
      <c r="V66" s="84">
        <v>869</v>
      </c>
      <c r="W66" s="85">
        <v>1.02</v>
      </c>
      <c r="X66" s="86">
        <v>2.0257999999999998</v>
      </c>
      <c r="Y66" s="86">
        <v>0.1588</v>
      </c>
      <c r="Z66" s="85">
        <v>0.4</v>
      </c>
      <c r="AA66" s="86">
        <v>0.1963</v>
      </c>
      <c r="AB66" s="85">
        <v>0.5</v>
      </c>
      <c r="AC66" s="87">
        <v>0.36199999999999999</v>
      </c>
      <c r="AD66" s="86">
        <v>0.3256</v>
      </c>
      <c r="AE66" s="86">
        <v>0.38840000000000002</v>
      </c>
      <c r="AG66" s="171">
        <v>41609</v>
      </c>
      <c r="AH66" s="177">
        <v>1806</v>
      </c>
      <c r="AI66" s="181">
        <v>2.75E-2</v>
      </c>
      <c r="AJ66" s="177">
        <v>82.35</v>
      </c>
      <c r="AK66" s="85">
        <v>80.33</v>
      </c>
      <c r="AL66" s="85"/>
      <c r="AM66" s="181">
        <v>5.67E-2</v>
      </c>
      <c r="AN66" s="86"/>
      <c r="AO66" s="179">
        <v>2013</v>
      </c>
    </row>
    <row r="67" spans="1:41" x14ac:dyDescent="0.3">
      <c r="A67" s="126" t="s">
        <v>357</v>
      </c>
      <c r="B67" s="126">
        <v>69.91</v>
      </c>
      <c r="C67" s="170">
        <v>47331</v>
      </c>
      <c r="D67" s="126">
        <v>2029</v>
      </c>
      <c r="E67" s="126">
        <v>8</v>
      </c>
      <c r="F67" s="126" t="s">
        <v>582</v>
      </c>
      <c r="N67" s="170">
        <v>45015</v>
      </c>
      <c r="O67" s="174">
        <v>78.599999999999994</v>
      </c>
      <c r="P67" s="126">
        <v>2023</v>
      </c>
      <c r="Q67" s="126">
        <v>3</v>
      </c>
      <c r="R67" s="126" t="s">
        <v>138</v>
      </c>
      <c r="T67" s="126">
        <v>2022</v>
      </c>
      <c r="U67" s="126" t="s">
        <v>486</v>
      </c>
      <c r="V67" s="127">
        <v>342</v>
      </c>
      <c r="W67" s="128">
        <v>0.93</v>
      </c>
      <c r="X67" s="129">
        <v>1.2472000000000001</v>
      </c>
      <c r="Y67" s="129">
        <v>0.15590000000000001</v>
      </c>
      <c r="Z67" s="128">
        <v>0.48</v>
      </c>
      <c r="AA67" s="129">
        <v>9.0700000000000003E-2</v>
      </c>
      <c r="AB67" s="128">
        <v>0.53</v>
      </c>
      <c r="AC67" s="130">
        <v>0.2984</v>
      </c>
      <c r="AD67" s="129">
        <v>0.26800000000000002</v>
      </c>
      <c r="AE67" s="129">
        <v>0.17030000000000001</v>
      </c>
      <c r="AG67" s="170">
        <v>41640</v>
      </c>
      <c r="AH67" s="176">
        <v>1848</v>
      </c>
      <c r="AI67" s="180">
        <v>3.04E-2</v>
      </c>
      <c r="AJ67" s="176">
        <v>90.52</v>
      </c>
      <c r="AK67" s="128">
        <v>84.16</v>
      </c>
      <c r="AL67" s="128"/>
      <c r="AM67" s="180">
        <v>4.2799999999999998E-2</v>
      </c>
      <c r="AN67" s="129"/>
      <c r="AO67" s="178">
        <v>2014</v>
      </c>
    </row>
    <row r="68" spans="1:41" x14ac:dyDescent="0.3">
      <c r="A68" s="83" t="s">
        <v>358</v>
      </c>
      <c r="B68" s="83">
        <v>69.900000000000006</v>
      </c>
      <c r="C68" s="171">
        <v>47362</v>
      </c>
      <c r="D68" s="83">
        <v>2029</v>
      </c>
      <c r="E68" s="83">
        <v>9</v>
      </c>
      <c r="F68" s="83" t="s">
        <v>582</v>
      </c>
      <c r="N68" s="171">
        <v>45016</v>
      </c>
      <c r="O68" s="175">
        <v>79.89</v>
      </c>
      <c r="P68" s="83">
        <v>2023</v>
      </c>
      <c r="Q68" s="83">
        <v>3</v>
      </c>
      <c r="R68" s="83" t="s">
        <v>138</v>
      </c>
      <c r="T68" s="83">
        <v>2022</v>
      </c>
      <c r="U68" s="83" t="s">
        <v>450</v>
      </c>
      <c r="V68" s="84">
        <v>730</v>
      </c>
      <c r="W68" s="85">
        <v>0.9</v>
      </c>
      <c r="X68" s="86">
        <v>0.98850000000000005</v>
      </c>
      <c r="Y68" s="86">
        <v>0.1447</v>
      </c>
      <c r="Z68" s="85">
        <v>0.52</v>
      </c>
      <c r="AA68" s="86">
        <v>6.4500000000000002E-2</v>
      </c>
      <c r="AB68" s="85">
        <v>0.55000000000000004</v>
      </c>
      <c r="AC68" s="87">
        <v>0.33560000000000001</v>
      </c>
      <c r="AD68" s="86">
        <v>0.29970000000000002</v>
      </c>
      <c r="AE68" s="86">
        <v>0.15570000000000001</v>
      </c>
      <c r="AG68" s="171">
        <v>41671</v>
      </c>
      <c r="AH68" s="177">
        <v>1783</v>
      </c>
      <c r="AI68" s="181">
        <v>2.6499999999999999E-2</v>
      </c>
      <c r="AJ68" s="177">
        <v>90.52</v>
      </c>
      <c r="AK68" s="85">
        <v>84.16</v>
      </c>
      <c r="AL68" s="85"/>
      <c r="AM68" s="181">
        <v>4.1300000000000003E-2</v>
      </c>
      <c r="AN68" s="86"/>
      <c r="AO68" s="179">
        <v>2014</v>
      </c>
    </row>
    <row r="69" spans="1:41" x14ac:dyDescent="0.3">
      <c r="A69" s="126" t="s">
        <v>359</v>
      </c>
      <c r="B69" s="126">
        <v>69.900000000000006</v>
      </c>
      <c r="C69" s="170">
        <v>47392</v>
      </c>
      <c r="D69" s="126">
        <v>2029</v>
      </c>
      <c r="E69" s="126">
        <v>10</v>
      </c>
      <c r="F69" s="126" t="s">
        <v>583</v>
      </c>
      <c r="N69" s="170">
        <v>45019</v>
      </c>
      <c r="O69" s="174">
        <v>84.93</v>
      </c>
      <c r="P69" s="126">
        <v>2023</v>
      </c>
      <c r="Q69" s="126">
        <v>4</v>
      </c>
      <c r="R69" s="126" t="s">
        <v>139</v>
      </c>
      <c r="T69" s="126">
        <v>2022</v>
      </c>
      <c r="U69" s="126" t="s">
        <v>451</v>
      </c>
      <c r="V69" s="127">
        <v>323</v>
      </c>
      <c r="W69" s="128">
        <v>1.1100000000000001</v>
      </c>
      <c r="X69" s="129">
        <v>0.3281</v>
      </c>
      <c r="Y69" s="129">
        <v>0.1394</v>
      </c>
      <c r="Z69" s="128">
        <v>0.89</v>
      </c>
      <c r="AA69" s="129">
        <v>9.7900000000000001E-2</v>
      </c>
      <c r="AB69" s="128">
        <v>0.99</v>
      </c>
      <c r="AC69" s="130">
        <v>0.38179999999999997</v>
      </c>
      <c r="AD69" s="129">
        <v>0.33179999999999998</v>
      </c>
      <c r="AE69" s="129">
        <v>0.14449999999999999</v>
      </c>
      <c r="AG69" s="170">
        <v>41699</v>
      </c>
      <c r="AH69" s="176">
        <v>1859</v>
      </c>
      <c r="AI69" s="180">
        <v>2.6599999999999999E-2</v>
      </c>
      <c r="AJ69" s="176">
        <v>90.52</v>
      </c>
      <c r="AK69" s="128">
        <v>84.16</v>
      </c>
      <c r="AL69" s="128"/>
      <c r="AM69" s="180">
        <v>4.1300000000000003E-2</v>
      </c>
      <c r="AN69" s="129"/>
      <c r="AO69" s="178">
        <v>2014</v>
      </c>
    </row>
    <row r="70" spans="1:41" x14ac:dyDescent="0.3">
      <c r="A70" s="83" t="s">
        <v>351</v>
      </c>
      <c r="B70" s="83">
        <v>69.89</v>
      </c>
      <c r="C70" s="171">
        <v>47423</v>
      </c>
      <c r="D70" s="83">
        <v>2029</v>
      </c>
      <c r="E70" s="83">
        <v>11</v>
      </c>
      <c r="F70" s="83" t="s">
        <v>583</v>
      </c>
      <c r="N70" s="171">
        <v>45020</v>
      </c>
      <c r="O70" s="175">
        <v>84.94</v>
      </c>
      <c r="P70" s="83">
        <v>2023</v>
      </c>
      <c r="Q70" s="83">
        <v>4</v>
      </c>
      <c r="R70" s="83" t="s">
        <v>139</v>
      </c>
      <c r="T70" s="83">
        <v>2022</v>
      </c>
      <c r="U70" s="83" t="s">
        <v>452</v>
      </c>
      <c r="V70" s="84">
        <v>34</v>
      </c>
      <c r="W70" s="85">
        <v>1.1599999999999999</v>
      </c>
      <c r="X70" s="86">
        <v>0.35160000000000002</v>
      </c>
      <c r="Y70" s="86">
        <v>9.8699999999999996E-2</v>
      </c>
      <c r="Z70" s="85">
        <v>0.92</v>
      </c>
      <c r="AA70" s="86">
        <v>0.1583</v>
      </c>
      <c r="AB70" s="85">
        <v>1.0900000000000001</v>
      </c>
      <c r="AC70" s="87">
        <v>0.28050000000000003</v>
      </c>
      <c r="AD70" s="86">
        <v>0.28320000000000001</v>
      </c>
      <c r="AE70" s="86">
        <v>0.28460000000000002</v>
      </c>
      <c r="AG70" s="171">
        <v>41730</v>
      </c>
      <c r="AH70" s="177">
        <v>1874</v>
      </c>
      <c r="AI70" s="181">
        <v>2.7199999999999998E-2</v>
      </c>
      <c r="AJ70" s="177">
        <v>95.39</v>
      </c>
      <c r="AK70" s="85">
        <v>88.13</v>
      </c>
      <c r="AL70" s="85"/>
      <c r="AM70" s="181">
        <v>4.1500000000000002E-2</v>
      </c>
      <c r="AN70" s="86"/>
      <c r="AO70" s="179">
        <v>2014</v>
      </c>
    </row>
    <row r="71" spans="1:41" x14ac:dyDescent="0.3">
      <c r="A71" s="126" t="s">
        <v>352</v>
      </c>
      <c r="B71" s="126">
        <v>69.88</v>
      </c>
      <c r="C71" s="170">
        <v>47453</v>
      </c>
      <c r="D71" s="126">
        <v>2029</v>
      </c>
      <c r="E71" s="126">
        <v>12</v>
      </c>
      <c r="F71" s="126" t="s">
        <v>583</v>
      </c>
      <c r="N71" s="170">
        <v>45021</v>
      </c>
      <c r="O71" s="174">
        <v>84.99</v>
      </c>
      <c r="P71" s="126">
        <v>2023</v>
      </c>
      <c r="Q71" s="126">
        <v>4</v>
      </c>
      <c r="R71" s="126" t="s">
        <v>139</v>
      </c>
      <c r="T71" s="126">
        <v>2022</v>
      </c>
      <c r="U71" s="126" t="s">
        <v>487</v>
      </c>
      <c r="V71" s="127">
        <v>382</v>
      </c>
      <c r="W71" s="128">
        <v>1</v>
      </c>
      <c r="X71" s="129">
        <v>0.32650000000000001</v>
      </c>
      <c r="Y71" s="129">
        <v>0.13059999999999999</v>
      </c>
      <c r="Z71" s="128">
        <v>0.8</v>
      </c>
      <c r="AA71" s="129">
        <v>3.6299999999999999E-2</v>
      </c>
      <c r="AB71" s="128">
        <v>0.83</v>
      </c>
      <c r="AC71" s="130">
        <v>0.32900000000000001</v>
      </c>
      <c r="AD71" s="129">
        <v>0.31359999999999999</v>
      </c>
      <c r="AE71" s="129">
        <v>0.2253</v>
      </c>
      <c r="AG71" s="170">
        <v>41760</v>
      </c>
      <c r="AH71" s="176">
        <v>1884</v>
      </c>
      <c r="AI71" s="180">
        <v>2.6499999999999999E-2</v>
      </c>
      <c r="AJ71" s="176">
        <v>95.39</v>
      </c>
      <c r="AK71" s="128">
        <v>88.13</v>
      </c>
      <c r="AL71" s="128"/>
      <c r="AM71" s="180">
        <v>4.1300000000000003E-2</v>
      </c>
      <c r="AN71" s="129"/>
      <c r="AO71" s="178">
        <v>2014</v>
      </c>
    </row>
    <row r="72" spans="1:41" x14ac:dyDescent="0.3">
      <c r="A72" s="83" t="s">
        <v>353</v>
      </c>
      <c r="B72" s="83">
        <v>69.88</v>
      </c>
      <c r="C72" s="171">
        <v>47484</v>
      </c>
      <c r="D72" s="83">
        <v>2030</v>
      </c>
      <c r="E72" s="83">
        <v>1</v>
      </c>
      <c r="F72" s="83" t="s">
        <v>584</v>
      </c>
      <c r="N72" s="171">
        <v>45022</v>
      </c>
      <c r="O72" s="175">
        <v>85.12</v>
      </c>
      <c r="P72" s="83">
        <v>2023</v>
      </c>
      <c r="Q72" s="83">
        <v>4</v>
      </c>
      <c r="R72" s="83" t="s">
        <v>139</v>
      </c>
      <c r="T72" s="83">
        <v>2022</v>
      </c>
      <c r="U72" s="83" t="s">
        <v>453</v>
      </c>
      <c r="V72" s="84">
        <v>193</v>
      </c>
      <c r="W72" s="85">
        <v>0.98</v>
      </c>
      <c r="X72" s="86">
        <v>0.58440000000000003</v>
      </c>
      <c r="Y72" s="86">
        <v>0.193</v>
      </c>
      <c r="Z72" s="85">
        <v>0.68</v>
      </c>
      <c r="AA72" s="86">
        <v>0.05</v>
      </c>
      <c r="AB72" s="85">
        <v>0.72</v>
      </c>
      <c r="AC72" s="87">
        <v>0.33579999999999999</v>
      </c>
      <c r="AD72" s="86">
        <v>0.30420000000000003</v>
      </c>
      <c r="AE72" s="86">
        <v>0.28170000000000001</v>
      </c>
      <c r="AG72" s="171">
        <v>41791</v>
      </c>
      <c r="AH72" s="177">
        <v>1924</v>
      </c>
      <c r="AI72" s="181">
        <v>2.4799999999999999E-2</v>
      </c>
      <c r="AJ72" s="177">
        <v>95.39</v>
      </c>
      <c r="AK72" s="85">
        <v>88.13</v>
      </c>
      <c r="AL72" s="85"/>
      <c r="AM72" s="181">
        <v>4.0599999999999997E-2</v>
      </c>
      <c r="AN72" s="86"/>
      <c r="AO72" s="179">
        <v>2014</v>
      </c>
    </row>
    <row r="73" spans="1:41" x14ac:dyDescent="0.3">
      <c r="A73" s="126" t="s">
        <v>363</v>
      </c>
      <c r="B73" s="126">
        <v>69.88</v>
      </c>
      <c r="C73" s="170">
        <v>47515</v>
      </c>
      <c r="D73" s="126">
        <v>2030</v>
      </c>
      <c r="E73" s="126">
        <v>2</v>
      </c>
      <c r="F73" s="126" t="s">
        <v>584</v>
      </c>
      <c r="N73" s="170">
        <v>45023</v>
      </c>
      <c r="O73" s="174">
        <v>85.12</v>
      </c>
      <c r="P73" s="126">
        <v>2023</v>
      </c>
      <c r="Q73" s="126">
        <v>4</v>
      </c>
      <c r="R73" s="126" t="s">
        <v>139</v>
      </c>
      <c r="T73" s="126">
        <v>2022</v>
      </c>
      <c r="U73" s="126" t="s">
        <v>454</v>
      </c>
      <c r="V73" s="127">
        <v>98</v>
      </c>
      <c r="W73" s="128">
        <v>1.08</v>
      </c>
      <c r="X73" s="129">
        <v>0.24049999999999999</v>
      </c>
      <c r="Y73" s="129">
        <v>0.19900000000000001</v>
      </c>
      <c r="Z73" s="128">
        <v>0.91</v>
      </c>
      <c r="AA73" s="129">
        <v>2.2200000000000001E-2</v>
      </c>
      <c r="AB73" s="128">
        <v>0.93</v>
      </c>
      <c r="AC73" s="130">
        <v>0.3165</v>
      </c>
      <c r="AD73" s="129">
        <v>0.27789999999999998</v>
      </c>
      <c r="AE73" s="129">
        <v>0.313</v>
      </c>
      <c r="AG73" s="170">
        <v>41821</v>
      </c>
      <c r="AH73" s="176">
        <v>1960</v>
      </c>
      <c r="AI73" s="180">
        <v>2.52E-2</v>
      </c>
      <c r="AJ73" s="176">
        <v>99.78</v>
      </c>
      <c r="AK73" s="128">
        <v>96.01</v>
      </c>
      <c r="AL73" s="128"/>
      <c r="AM73" s="180">
        <v>4.07E-2</v>
      </c>
      <c r="AN73" s="129"/>
      <c r="AO73" s="178">
        <v>2014</v>
      </c>
    </row>
    <row r="74" spans="1:41" x14ac:dyDescent="0.3">
      <c r="A74" s="83" t="s">
        <v>364</v>
      </c>
      <c r="B74" s="83">
        <v>69.88</v>
      </c>
      <c r="C74" s="171">
        <v>47543</v>
      </c>
      <c r="D74" s="83">
        <v>2030</v>
      </c>
      <c r="E74" s="83">
        <v>3</v>
      </c>
      <c r="F74" s="83" t="s">
        <v>584</v>
      </c>
      <c r="N74" s="171">
        <v>45026</v>
      </c>
      <c r="O74" s="175">
        <v>84.18</v>
      </c>
      <c r="P74" s="83">
        <v>2023</v>
      </c>
      <c r="Q74" s="83">
        <v>4</v>
      </c>
      <c r="R74" s="83" t="s">
        <v>139</v>
      </c>
      <c r="T74" s="83">
        <v>2022</v>
      </c>
      <c r="U74" s="83" t="s">
        <v>455</v>
      </c>
      <c r="V74" s="84">
        <v>1006</v>
      </c>
      <c r="W74" s="85">
        <v>0.83</v>
      </c>
      <c r="X74" s="86">
        <v>0.69220000000000004</v>
      </c>
      <c r="Y74" s="86">
        <v>0.17230000000000001</v>
      </c>
      <c r="Z74" s="85">
        <v>0.54</v>
      </c>
      <c r="AA74" s="86">
        <v>8.8400000000000006E-2</v>
      </c>
      <c r="AB74" s="85">
        <v>0.6</v>
      </c>
      <c r="AC74" s="87">
        <v>0.35859999999999997</v>
      </c>
      <c r="AD74" s="86">
        <v>0.32640000000000002</v>
      </c>
      <c r="AE74" s="86">
        <v>0.28849999999999998</v>
      </c>
      <c r="AG74" s="171">
        <v>41852</v>
      </c>
      <c r="AH74" s="177">
        <v>1931</v>
      </c>
      <c r="AI74" s="181">
        <v>2.5600000000000001E-2</v>
      </c>
      <c r="AJ74" s="177">
        <v>99.78</v>
      </c>
      <c r="AK74" s="85">
        <v>96.01</v>
      </c>
      <c r="AL74" s="85"/>
      <c r="AM74" s="181">
        <v>4.0899999999999999E-2</v>
      </c>
      <c r="AN74" s="86"/>
      <c r="AO74" s="179">
        <v>2014</v>
      </c>
    </row>
    <row r="75" spans="1:41" x14ac:dyDescent="0.3">
      <c r="A75" s="126" t="s">
        <v>562</v>
      </c>
      <c r="B75" s="126">
        <v>69.88</v>
      </c>
      <c r="C75" s="170">
        <v>47574</v>
      </c>
      <c r="D75" s="126">
        <v>2030</v>
      </c>
      <c r="E75" s="126">
        <v>4</v>
      </c>
      <c r="F75" s="126" t="s">
        <v>585</v>
      </c>
      <c r="N75" s="170">
        <v>45027</v>
      </c>
      <c r="O75" s="174">
        <v>85.61</v>
      </c>
      <c r="P75" s="126">
        <v>2023</v>
      </c>
      <c r="Q75" s="126">
        <v>4</v>
      </c>
      <c r="R75" s="126" t="s">
        <v>139</v>
      </c>
      <c r="T75" s="126">
        <v>2022</v>
      </c>
      <c r="U75" s="126" t="s">
        <v>456</v>
      </c>
      <c r="V75" s="127">
        <v>189</v>
      </c>
      <c r="W75" s="128">
        <v>0.89</v>
      </c>
      <c r="X75" s="129">
        <v>0.36480000000000001</v>
      </c>
      <c r="Y75" s="129">
        <v>0.1837</v>
      </c>
      <c r="Z75" s="128">
        <v>0.7</v>
      </c>
      <c r="AA75" s="129">
        <v>4.9299999999999997E-2</v>
      </c>
      <c r="AB75" s="128">
        <v>0.73</v>
      </c>
      <c r="AC75" s="130">
        <v>0.29289999999999999</v>
      </c>
      <c r="AD75" s="129">
        <v>0.27279999999999999</v>
      </c>
      <c r="AE75" s="129">
        <v>7.5399999999999995E-2</v>
      </c>
      <c r="AG75" s="170">
        <v>41883</v>
      </c>
      <c r="AH75" s="176">
        <v>2003</v>
      </c>
      <c r="AI75" s="180">
        <v>2.35E-2</v>
      </c>
      <c r="AJ75" s="176">
        <v>99.78</v>
      </c>
      <c r="AK75" s="128">
        <v>96.01</v>
      </c>
      <c r="AL75" s="128"/>
      <c r="AM75" s="180">
        <v>0.04</v>
      </c>
      <c r="AN75" s="129"/>
      <c r="AO75" s="178">
        <v>2014</v>
      </c>
    </row>
    <row r="76" spans="1:41" x14ac:dyDescent="0.3">
      <c r="A76" s="83" t="s">
        <v>563</v>
      </c>
      <c r="B76" s="83">
        <v>69.89</v>
      </c>
      <c r="C76" s="171">
        <v>47604</v>
      </c>
      <c r="D76" s="83">
        <v>2030</v>
      </c>
      <c r="E76" s="83">
        <v>5</v>
      </c>
      <c r="F76" s="83" t="s">
        <v>585</v>
      </c>
      <c r="N76" s="171">
        <v>45028</v>
      </c>
      <c r="O76" s="175">
        <v>87.33</v>
      </c>
      <c r="P76" s="83">
        <v>2023</v>
      </c>
      <c r="Q76" s="83">
        <v>4</v>
      </c>
      <c r="R76" s="83" t="s">
        <v>139</v>
      </c>
      <c r="T76" s="83">
        <v>2022</v>
      </c>
      <c r="U76" s="83" t="s">
        <v>457</v>
      </c>
      <c r="V76" s="84">
        <v>181</v>
      </c>
      <c r="W76" s="85">
        <v>0.71</v>
      </c>
      <c r="X76" s="86">
        <v>0.57899999999999996</v>
      </c>
      <c r="Y76" s="86">
        <v>0.21190000000000001</v>
      </c>
      <c r="Z76" s="85">
        <v>0.49</v>
      </c>
      <c r="AA76" s="86">
        <v>7.0699999999999999E-2</v>
      </c>
      <c r="AB76" s="85">
        <v>0.53</v>
      </c>
      <c r="AC76" s="87">
        <v>0.28289999999999998</v>
      </c>
      <c r="AD76" s="86">
        <v>0.23949999999999999</v>
      </c>
      <c r="AE76" s="86">
        <v>0.185</v>
      </c>
      <c r="AG76" s="171">
        <v>41913</v>
      </c>
      <c r="AH76" s="177">
        <v>1973</v>
      </c>
      <c r="AI76" s="181">
        <v>2.4899999999999999E-2</v>
      </c>
      <c r="AJ76" s="177">
        <v>100.41</v>
      </c>
      <c r="AK76" s="85">
        <v>97.52</v>
      </c>
      <c r="AL76" s="85"/>
      <c r="AM76" s="181">
        <v>4.0399999999999998E-2</v>
      </c>
      <c r="AN76" s="86"/>
      <c r="AO76" s="179">
        <v>2014</v>
      </c>
    </row>
    <row r="77" spans="1:41" x14ac:dyDescent="0.3">
      <c r="A77" s="126" t="s">
        <v>679</v>
      </c>
      <c r="B77" s="126">
        <v>69.900000000000006</v>
      </c>
      <c r="C77" s="170">
        <v>47635</v>
      </c>
      <c r="D77" s="126">
        <v>2030</v>
      </c>
      <c r="E77" s="126">
        <v>6</v>
      </c>
      <c r="F77" s="126" t="s">
        <v>586</v>
      </c>
      <c r="N77" s="170">
        <v>45029</v>
      </c>
      <c r="O77" s="174">
        <v>86.09</v>
      </c>
      <c r="P77" s="126">
        <v>2023</v>
      </c>
      <c r="Q77" s="126">
        <v>4</v>
      </c>
      <c r="R77" s="126" t="s">
        <v>139</v>
      </c>
      <c r="T77" s="126">
        <v>2022</v>
      </c>
      <c r="U77" s="126" t="s">
        <v>488</v>
      </c>
      <c r="V77" s="127">
        <v>342</v>
      </c>
      <c r="W77" s="128">
        <v>1.59</v>
      </c>
      <c r="X77" s="129">
        <v>0.2054</v>
      </c>
      <c r="Y77" s="129">
        <v>9.9699999999999997E-2</v>
      </c>
      <c r="Z77" s="128">
        <v>1.38</v>
      </c>
      <c r="AA77" s="129">
        <v>7.4999999999999997E-2</v>
      </c>
      <c r="AB77" s="128">
        <v>1.49</v>
      </c>
      <c r="AC77" s="130">
        <v>0.52739999999999998</v>
      </c>
      <c r="AD77" s="129">
        <v>0.46350000000000002</v>
      </c>
      <c r="AE77" s="129">
        <v>0.51200000000000001</v>
      </c>
      <c r="AG77" s="170">
        <v>41944</v>
      </c>
      <c r="AH77" s="176">
        <v>2018</v>
      </c>
      <c r="AI77" s="180">
        <v>2.3400000000000001E-2</v>
      </c>
      <c r="AJ77" s="176">
        <v>100.41</v>
      </c>
      <c r="AK77" s="128">
        <v>97.52</v>
      </c>
      <c r="AL77" s="128"/>
      <c r="AM77" s="180">
        <v>0.04</v>
      </c>
      <c r="AN77" s="129"/>
      <c r="AO77" s="178">
        <v>2014</v>
      </c>
    </row>
    <row r="78" spans="1:41" x14ac:dyDescent="0.3">
      <c r="A78" s="83" t="s">
        <v>680</v>
      </c>
      <c r="B78" s="83">
        <v>69.900000000000006</v>
      </c>
      <c r="C78" s="171">
        <v>47665</v>
      </c>
      <c r="D78" s="83">
        <v>2030</v>
      </c>
      <c r="E78" s="83">
        <v>7</v>
      </c>
      <c r="F78" s="83" t="s">
        <v>587</v>
      </c>
      <c r="N78" s="171">
        <v>45030</v>
      </c>
      <c r="O78" s="175">
        <v>86.31</v>
      </c>
      <c r="P78" s="83">
        <v>2023</v>
      </c>
      <c r="Q78" s="83">
        <v>4</v>
      </c>
      <c r="R78" s="83" t="s">
        <v>139</v>
      </c>
      <c r="T78" s="83">
        <v>2022</v>
      </c>
      <c r="U78" s="83" t="s">
        <v>458</v>
      </c>
      <c r="V78" s="84">
        <v>495</v>
      </c>
      <c r="W78" s="85">
        <v>1.0900000000000001</v>
      </c>
      <c r="X78" s="86">
        <v>0.31130000000000002</v>
      </c>
      <c r="Y78" s="86">
        <v>0.1757</v>
      </c>
      <c r="Z78" s="85">
        <v>0.88</v>
      </c>
      <c r="AA78" s="86">
        <v>7.6499999999999999E-2</v>
      </c>
      <c r="AB78" s="85">
        <v>0.96</v>
      </c>
      <c r="AC78" s="87">
        <v>0.35870000000000002</v>
      </c>
      <c r="AD78" s="86">
        <v>0.31790000000000002</v>
      </c>
      <c r="AE78" s="86">
        <v>0.16370000000000001</v>
      </c>
      <c r="AG78" s="171">
        <v>41974</v>
      </c>
      <c r="AH78" s="177">
        <v>2068</v>
      </c>
      <c r="AI78" s="181">
        <v>2.1700000000000001E-2</v>
      </c>
      <c r="AJ78" s="177">
        <v>100.41</v>
      </c>
      <c r="AK78" s="85">
        <v>97.52</v>
      </c>
      <c r="AL78" s="85"/>
      <c r="AM78" s="181">
        <v>3.9300000000000002E-2</v>
      </c>
      <c r="AN78" s="86"/>
      <c r="AO78" s="179">
        <v>2014</v>
      </c>
    </row>
    <row r="79" spans="1:41" x14ac:dyDescent="0.3">
      <c r="A79" s="126" t="s">
        <v>564</v>
      </c>
      <c r="B79" s="126">
        <v>69.900000000000006</v>
      </c>
      <c r="C79" s="170">
        <v>47696</v>
      </c>
      <c r="D79" s="126">
        <v>2030</v>
      </c>
      <c r="E79" s="126">
        <v>8</v>
      </c>
      <c r="F79" s="126" t="s">
        <v>588</v>
      </c>
      <c r="N79" s="170">
        <v>45033</v>
      </c>
      <c r="O79" s="174">
        <v>84.76</v>
      </c>
      <c r="P79" s="126">
        <v>2023</v>
      </c>
      <c r="Q79" s="126">
        <v>4</v>
      </c>
      <c r="R79" s="126" t="s">
        <v>139</v>
      </c>
      <c r="T79" s="126">
        <v>2022</v>
      </c>
      <c r="U79" s="126" t="s">
        <v>459</v>
      </c>
      <c r="V79" s="127">
        <v>89</v>
      </c>
      <c r="W79" s="128">
        <v>1.1599999999999999</v>
      </c>
      <c r="X79" s="129">
        <v>0.51190000000000002</v>
      </c>
      <c r="Y79" s="129">
        <v>0.15959999999999999</v>
      </c>
      <c r="Z79" s="128">
        <v>0.84</v>
      </c>
      <c r="AA79" s="129">
        <v>0.1003</v>
      </c>
      <c r="AB79" s="128">
        <v>0.93</v>
      </c>
      <c r="AC79" s="130">
        <v>0.30220000000000002</v>
      </c>
      <c r="AD79" s="129">
        <v>0.27729999999999999</v>
      </c>
      <c r="AE79" s="129">
        <v>0.1113</v>
      </c>
      <c r="AG79" s="170">
        <v>42005</v>
      </c>
      <c r="AH79" s="176">
        <v>2059</v>
      </c>
      <c r="AI79" s="180">
        <v>2.1700000000000001E-2</v>
      </c>
      <c r="AJ79" s="176">
        <v>107.97</v>
      </c>
      <c r="AK79" s="128">
        <v>100.5</v>
      </c>
      <c r="AL79" s="128"/>
      <c r="AM79" s="180">
        <v>5.5800000000000002E-2</v>
      </c>
      <c r="AN79" s="129"/>
      <c r="AO79" s="178">
        <v>2015</v>
      </c>
    </row>
    <row r="80" spans="1:41" x14ac:dyDescent="0.3">
      <c r="A80" s="83" t="s">
        <v>565</v>
      </c>
      <c r="B80" s="83">
        <v>69.900000000000006</v>
      </c>
      <c r="C80" s="171">
        <v>47727</v>
      </c>
      <c r="D80" s="83">
        <v>2030</v>
      </c>
      <c r="E80" s="83">
        <v>9</v>
      </c>
      <c r="F80" s="83" t="s">
        <v>588</v>
      </c>
      <c r="N80" s="171">
        <v>45034</v>
      </c>
      <c r="O80" s="175">
        <v>84.45</v>
      </c>
      <c r="P80" s="83">
        <v>2023</v>
      </c>
      <c r="Q80" s="83">
        <v>4</v>
      </c>
      <c r="R80" s="83" t="s">
        <v>139</v>
      </c>
      <c r="T80" s="83">
        <v>2022</v>
      </c>
      <c r="U80" s="83" t="s">
        <v>460</v>
      </c>
      <c r="V80" s="84">
        <v>624</v>
      </c>
      <c r="W80" s="85">
        <v>1.69</v>
      </c>
      <c r="X80" s="86">
        <v>0.11609999999999999</v>
      </c>
      <c r="Y80" s="86">
        <v>0.10349999999999999</v>
      </c>
      <c r="Z80" s="85">
        <v>1.56</v>
      </c>
      <c r="AA80" s="86">
        <v>6.9500000000000006E-2</v>
      </c>
      <c r="AB80" s="85">
        <v>1.67</v>
      </c>
      <c r="AC80" s="87">
        <v>0.39350000000000002</v>
      </c>
      <c r="AD80" s="86">
        <v>0.37340000000000001</v>
      </c>
      <c r="AE80" s="86">
        <v>0.46879999999999999</v>
      </c>
      <c r="AG80" s="171">
        <v>42036</v>
      </c>
      <c r="AH80" s="177">
        <v>1995</v>
      </c>
      <c r="AI80" s="181">
        <v>1.7000000000000001E-2</v>
      </c>
      <c r="AJ80" s="177">
        <v>107.97</v>
      </c>
      <c r="AK80" s="85">
        <v>100.5</v>
      </c>
      <c r="AL80" s="85"/>
      <c r="AM80" s="181">
        <v>5.3800000000000001E-2</v>
      </c>
      <c r="AN80" s="86"/>
      <c r="AO80" s="179">
        <v>2015</v>
      </c>
    </row>
    <row r="81" spans="1:41" x14ac:dyDescent="0.3">
      <c r="A81" s="126" t="s">
        <v>566</v>
      </c>
      <c r="B81" s="126">
        <v>69.900000000000006</v>
      </c>
      <c r="C81" s="170">
        <v>47757</v>
      </c>
      <c r="D81" s="126">
        <v>2030</v>
      </c>
      <c r="E81" s="126">
        <v>10</v>
      </c>
      <c r="F81" s="126" t="s">
        <v>589</v>
      </c>
      <c r="N81" s="170">
        <v>45035</v>
      </c>
      <c r="O81" s="174">
        <v>82.79</v>
      </c>
      <c r="P81" s="126">
        <v>2023</v>
      </c>
      <c r="Q81" s="126">
        <v>4</v>
      </c>
      <c r="R81" s="126" t="s">
        <v>139</v>
      </c>
      <c r="T81" s="126">
        <v>2022</v>
      </c>
      <c r="U81" s="126" t="s">
        <v>461</v>
      </c>
      <c r="V81" s="127">
        <v>342</v>
      </c>
      <c r="W81" s="128">
        <v>1.96</v>
      </c>
      <c r="X81" s="129">
        <v>7.0900000000000005E-2</v>
      </c>
      <c r="Y81" s="129">
        <v>0.1439</v>
      </c>
      <c r="Z81" s="128">
        <v>1.86</v>
      </c>
      <c r="AA81" s="129">
        <v>6.0499999999999998E-2</v>
      </c>
      <c r="AB81" s="128">
        <v>1.98</v>
      </c>
      <c r="AC81" s="130">
        <v>0.36630000000000001</v>
      </c>
      <c r="AD81" s="129">
        <v>0.3327</v>
      </c>
      <c r="AE81" s="129">
        <v>0.6996</v>
      </c>
      <c r="AG81" s="170">
        <v>42064</v>
      </c>
      <c r="AH81" s="176">
        <v>2105</v>
      </c>
      <c r="AI81" s="180">
        <v>0.02</v>
      </c>
      <c r="AJ81" s="176">
        <v>107.97</v>
      </c>
      <c r="AK81" s="128">
        <v>100.5</v>
      </c>
      <c r="AL81" s="128"/>
      <c r="AM81" s="180">
        <v>5.5100000000000003E-2</v>
      </c>
      <c r="AN81" s="129"/>
      <c r="AO81" s="178">
        <v>2015</v>
      </c>
    </row>
    <row r="82" spans="1:41" x14ac:dyDescent="0.3">
      <c r="A82" s="83" t="s">
        <v>681</v>
      </c>
      <c r="B82" s="83">
        <v>69.91</v>
      </c>
      <c r="C82" s="171">
        <v>47788</v>
      </c>
      <c r="D82" s="83">
        <v>2030</v>
      </c>
      <c r="E82" s="83">
        <v>11</v>
      </c>
      <c r="F82" s="83" t="s">
        <v>590</v>
      </c>
      <c r="N82" s="171">
        <v>45036</v>
      </c>
      <c r="O82" s="175">
        <v>80.81</v>
      </c>
      <c r="P82" s="83">
        <v>2023</v>
      </c>
      <c r="Q82" s="83">
        <v>4</v>
      </c>
      <c r="R82" s="83" t="s">
        <v>139</v>
      </c>
      <c r="T82" s="83">
        <v>2022</v>
      </c>
      <c r="U82" s="83" t="s">
        <v>462</v>
      </c>
      <c r="V82" s="84">
        <v>349</v>
      </c>
      <c r="W82" s="85">
        <v>1.1000000000000001</v>
      </c>
      <c r="X82" s="86">
        <v>0.50019999999999998</v>
      </c>
      <c r="Y82" s="86">
        <v>0.12280000000000001</v>
      </c>
      <c r="Z82" s="85">
        <v>0.8</v>
      </c>
      <c r="AA82" s="86">
        <v>0.24149999999999999</v>
      </c>
      <c r="AB82" s="85">
        <v>1.05</v>
      </c>
      <c r="AC82" s="87">
        <v>0.33329999999999999</v>
      </c>
      <c r="AD82" s="86">
        <v>0.33910000000000001</v>
      </c>
      <c r="AE82" s="86">
        <v>1.1534</v>
      </c>
      <c r="AG82" s="171">
        <v>42095</v>
      </c>
      <c r="AH82" s="177">
        <v>2068</v>
      </c>
      <c r="AI82" s="181">
        <v>1.9300000000000001E-2</v>
      </c>
      <c r="AJ82" s="177">
        <v>108.59</v>
      </c>
      <c r="AK82" s="85">
        <v>101.98</v>
      </c>
      <c r="AL82" s="85"/>
      <c r="AM82" s="181">
        <v>5.4800000000000001E-2</v>
      </c>
      <c r="AN82" s="86"/>
      <c r="AO82" s="179">
        <v>2015</v>
      </c>
    </row>
    <row r="83" spans="1:41" x14ac:dyDescent="0.3">
      <c r="A83" s="126" t="s">
        <v>567</v>
      </c>
      <c r="B83" s="126">
        <v>69.92</v>
      </c>
      <c r="C83" s="170">
        <v>47818</v>
      </c>
      <c r="D83" s="126">
        <v>2030</v>
      </c>
      <c r="E83" s="126">
        <v>12</v>
      </c>
      <c r="F83" s="126" t="s">
        <v>589</v>
      </c>
      <c r="N83" s="170">
        <v>45037</v>
      </c>
      <c r="O83" s="174">
        <v>81.459999999999994</v>
      </c>
      <c r="P83" s="126">
        <v>2023</v>
      </c>
      <c r="Q83" s="126">
        <v>4</v>
      </c>
      <c r="R83" s="126" t="s">
        <v>139</v>
      </c>
      <c r="T83" s="126">
        <v>2022</v>
      </c>
      <c r="U83" s="126" t="s">
        <v>463</v>
      </c>
      <c r="V83" s="127">
        <v>85</v>
      </c>
      <c r="W83" s="128">
        <v>1.02</v>
      </c>
      <c r="X83" s="129">
        <v>0.1239</v>
      </c>
      <c r="Y83" s="129">
        <v>0.14360000000000001</v>
      </c>
      <c r="Z83" s="128">
        <v>0.93</v>
      </c>
      <c r="AA83" s="129">
        <v>4.6800000000000001E-2</v>
      </c>
      <c r="AB83" s="128">
        <v>0.98</v>
      </c>
      <c r="AC83" s="130">
        <v>0.36799999999999999</v>
      </c>
      <c r="AD83" s="129">
        <v>0.35249999999999998</v>
      </c>
      <c r="AE83" s="129">
        <v>0.21540000000000001</v>
      </c>
      <c r="AG83" s="170">
        <v>42125</v>
      </c>
      <c r="AH83" s="176">
        <v>2086</v>
      </c>
      <c r="AI83" s="180">
        <v>2.0500000000000001E-2</v>
      </c>
      <c r="AJ83" s="176">
        <v>108.59</v>
      </c>
      <c r="AK83" s="128">
        <v>101.98</v>
      </c>
      <c r="AL83" s="128"/>
      <c r="AM83" s="180">
        <v>5.5300000000000002E-2</v>
      </c>
      <c r="AN83" s="129"/>
      <c r="AO83" s="178">
        <v>2015</v>
      </c>
    </row>
    <row r="84" spans="1:41" x14ac:dyDescent="0.3">
      <c r="A84" s="235" t="s">
        <v>742</v>
      </c>
      <c r="B84" s="83">
        <v>69.92</v>
      </c>
      <c r="C84" s="171">
        <v>47849</v>
      </c>
      <c r="D84" s="83">
        <v>2031</v>
      </c>
      <c r="E84" s="83">
        <v>1</v>
      </c>
      <c r="F84" s="83" t="s">
        <v>589</v>
      </c>
      <c r="N84" s="171">
        <v>45040</v>
      </c>
      <c r="O84" s="175">
        <v>82.54</v>
      </c>
      <c r="P84" s="83">
        <v>2023</v>
      </c>
      <c r="Q84" s="83">
        <v>4</v>
      </c>
      <c r="R84" s="83" t="s">
        <v>139</v>
      </c>
      <c r="T84" s="83">
        <v>2022</v>
      </c>
      <c r="U84" s="83" t="s">
        <v>489</v>
      </c>
      <c r="V84" s="84">
        <v>320</v>
      </c>
      <c r="W84" s="85">
        <v>1.48</v>
      </c>
      <c r="X84" s="86">
        <v>7.2099999999999997E-2</v>
      </c>
      <c r="Y84" s="86">
        <v>9.4600000000000004E-2</v>
      </c>
      <c r="Z84" s="85">
        <v>1.4</v>
      </c>
      <c r="AA84" s="86">
        <v>4.1700000000000001E-2</v>
      </c>
      <c r="AB84" s="85">
        <v>1.46</v>
      </c>
      <c r="AC84" s="87">
        <v>0.52349999999999997</v>
      </c>
      <c r="AD84" s="86">
        <v>0.47749999999999998</v>
      </c>
      <c r="AE84" s="86">
        <v>0.61329999999999996</v>
      </c>
      <c r="AG84" s="171">
        <v>42156</v>
      </c>
      <c r="AH84" s="177">
        <v>2107</v>
      </c>
      <c r="AI84" s="181">
        <v>2.1299999999999999E-2</v>
      </c>
      <c r="AJ84" s="177">
        <v>108.59</v>
      </c>
      <c r="AK84" s="85">
        <v>101.98</v>
      </c>
      <c r="AL84" s="85"/>
      <c r="AM84" s="181">
        <v>5.5599999999999997E-2</v>
      </c>
      <c r="AN84" s="86"/>
      <c r="AO84" s="179">
        <v>2015</v>
      </c>
    </row>
    <row r="85" spans="1:41" x14ac:dyDescent="0.3">
      <c r="A85" s="236" t="s">
        <v>739</v>
      </c>
      <c r="B85" s="126">
        <v>69.92</v>
      </c>
      <c r="C85" s="170">
        <v>47880</v>
      </c>
      <c r="D85" s="126">
        <v>2031</v>
      </c>
      <c r="E85" s="126">
        <v>2</v>
      </c>
      <c r="F85" s="126" t="s">
        <v>589</v>
      </c>
      <c r="N85" s="170">
        <v>45041</v>
      </c>
      <c r="O85" s="174">
        <v>80.599999999999994</v>
      </c>
      <c r="P85" s="126">
        <v>2023</v>
      </c>
      <c r="Q85" s="126">
        <v>4</v>
      </c>
      <c r="R85" s="126" t="s">
        <v>139</v>
      </c>
      <c r="T85" s="126">
        <v>2022</v>
      </c>
      <c r="U85" s="126" t="s">
        <v>490</v>
      </c>
      <c r="V85" s="127">
        <v>152</v>
      </c>
      <c r="W85" s="128">
        <v>1.35</v>
      </c>
      <c r="X85" s="129">
        <v>0.16669999999999999</v>
      </c>
      <c r="Y85" s="129">
        <v>9.0300000000000005E-2</v>
      </c>
      <c r="Z85" s="128">
        <v>1.2</v>
      </c>
      <c r="AA85" s="129">
        <v>5.0700000000000002E-2</v>
      </c>
      <c r="AB85" s="128">
        <v>1.26</v>
      </c>
      <c r="AC85" s="130">
        <v>0.46800000000000003</v>
      </c>
      <c r="AD85" s="129">
        <v>0.43240000000000001</v>
      </c>
      <c r="AE85" s="129">
        <v>0.3584</v>
      </c>
      <c r="AG85" s="170">
        <v>42186</v>
      </c>
      <c r="AH85" s="176">
        <v>2063</v>
      </c>
      <c r="AI85" s="180">
        <v>2.3599999999999999E-2</v>
      </c>
      <c r="AJ85" s="176">
        <v>108.34</v>
      </c>
      <c r="AK85" s="128">
        <v>101.58</v>
      </c>
      <c r="AL85" s="128"/>
      <c r="AM85" s="180">
        <v>5.6500000000000002E-2</v>
      </c>
      <c r="AN85" s="129"/>
      <c r="AO85" s="178">
        <v>2015</v>
      </c>
    </row>
    <row r="86" spans="1:41" x14ac:dyDescent="0.3">
      <c r="A86" s="235" t="s">
        <v>743</v>
      </c>
      <c r="B86" s="83">
        <v>69.92</v>
      </c>
      <c r="C86" s="171">
        <v>47908</v>
      </c>
      <c r="D86" s="83">
        <v>2031</v>
      </c>
      <c r="E86" s="83">
        <v>3</v>
      </c>
      <c r="F86" s="83" t="s">
        <v>589</v>
      </c>
      <c r="N86" s="171">
        <v>45042</v>
      </c>
      <c r="O86" s="175">
        <v>77.72</v>
      </c>
      <c r="P86" s="83">
        <v>2023</v>
      </c>
      <c r="Q86" s="83">
        <v>4</v>
      </c>
      <c r="R86" s="83" t="s">
        <v>139</v>
      </c>
      <c r="T86" s="83">
        <v>2022</v>
      </c>
      <c r="U86" s="83" t="s">
        <v>491</v>
      </c>
      <c r="V86" s="84">
        <v>1648</v>
      </c>
      <c r="W86" s="85">
        <v>1.35</v>
      </c>
      <c r="X86" s="86">
        <v>8.9399999999999993E-2</v>
      </c>
      <c r="Y86" s="86">
        <v>7.8799999999999995E-2</v>
      </c>
      <c r="Z86" s="85">
        <v>1.27</v>
      </c>
      <c r="AA86" s="86">
        <v>3.73E-2</v>
      </c>
      <c r="AB86" s="85">
        <v>1.32</v>
      </c>
      <c r="AC86" s="87">
        <v>0.48659999999999998</v>
      </c>
      <c r="AD86" s="86">
        <v>0.44540000000000002</v>
      </c>
      <c r="AE86" s="86">
        <v>0.28999999999999998</v>
      </c>
      <c r="AG86" s="171">
        <v>42217</v>
      </c>
      <c r="AH86" s="177">
        <v>2104</v>
      </c>
      <c r="AI86" s="181">
        <v>2.18E-2</v>
      </c>
      <c r="AJ86" s="177">
        <v>108.34</v>
      </c>
      <c r="AK86" s="85">
        <v>101.58</v>
      </c>
      <c r="AL86" s="85"/>
      <c r="AM86" s="181">
        <v>5.5800000000000002E-2</v>
      </c>
      <c r="AN86" s="86"/>
      <c r="AO86" s="179">
        <v>2015</v>
      </c>
    </row>
    <row r="87" spans="1:41" x14ac:dyDescent="0.3">
      <c r="A87" s="236" t="s">
        <v>743</v>
      </c>
      <c r="B87" s="126">
        <v>69.92</v>
      </c>
      <c r="C87" s="170">
        <v>47939</v>
      </c>
      <c r="D87" s="126">
        <v>2031</v>
      </c>
      <c r="E87" s="126">
        <v>4</v>
      </c>
      <c r="F87" s="126" t="str">
        <f>IF(E87&lt;4,"1T",IF(E87&lt;7,"2T",IF(E87&lt;10,"3T","4T")))&amp;RIGHT(D87,2)</f>
        <v>2T31</v>
      </c>
      <c r="N87" s="170">
        <v>45043</v>
      </c>
      <c r="O87" s="174">
        <v>78.22</v>
      </c>
      <c r="P87" s="126">
        <v>2023</v>
      </c>
      <c r="Q87" s="126">
        <v>4</v>
      </c>
      <c r="R87" s="126" t="s">
        <v>139</v>
      </c>
      <c r="T87" s="126">
        <v>2022</v>
      </c>
      <c r="U87" s="126" t="s">
        <v>464</v>
      </c>
      <c r="V87" s="127">
        <v>710</v>
      </c>
      <c r="W87" s="128">
        <v>1.23</v>
      </c>
      <c r="X87" s="129">
        <v>0.4733</v>
      </c>
      <c r="Y87" s="129">
        <v>0.15659999999999999</v>
      </c>
      <c r="Z87" s="128">
        <v>0.91</v>
      </c>
      <c r="AA87" s="129">
        <v>0.12429999999999999</v>
      </c>
      <c r="AB87" s="128">
        <v>1.04</v>
      </c>
      <c r="AC87" s="130">
        <v>0.36520000000000002</v>
      </c>
      <c r="AD87" s="129">
        <v>0.36049999999999999</v>
      </c>
      <c r="AE87" s="129">
        <v>0.73060000000000003</v>
      </c>
      <c r="AG87" s="170">
        <v>42248</v>
      </c>
      <c r="AH87" s="176">
        <v>1972</v>
      </c>
      <c r="AI87" s="180">
        <v>2.2200000000000001E-2</v>
      </c>
      <c r="AJ87" s="176">
        <v>108.34</v>
      </c>
      <c r="AK87" s="128">
        <v>101.58</v>
      </c>
      <c r="AL87" s="128"/>
      <c r="AM87" s="180">
        <v>6.3200000000000006E-2</v>
      </c>
      <c r="AN87" s="129"/>
      <c r="AO87" s="178">
        <v>2015</v>
      </c>
    </row>
    <row r="88" spans="1:41" x14ac:dyDescent="0.3">
      <c r="A88" s="235" t="s">
        <v>740</v>
      </c>
      <c r="B88" s="83">
        <v>69.92</v>
      </c>
      <c r="C88" s="171">
        <v>47969</v>
      </c>
      <c r="D88" s="83">
        <v>2031</v>
      </c>
      <c r="E88" s="83">
        <v>5</v>
      </c>
      <c r="F88" s="83" t="str">
        <f>IF(E88&lt;4,"1T",IF(E88&lt;7,"2T",IF(E88&lt;10,"3T","4T")))&amp;RIGHT(D88,2)</f>
        <v>2T31</v>
      </c>
      <c r="N88" s="171">
        <v>45044</v>
      </c>
      <c r="O88" s="175">
        <v>80.33</v>
      </c>
      <c r="P88" s="83">
        <v>2023</v>
      </c>
      <c r="Q88" s="83">
        <v>4</v>
      </c>
      <c r="R88" s="83" t="s">
        <v>139</v>
      </c>
      <c r="T88" s="83">
        <v>2022</v>
      </c>
      <c r="U88" s="83" t="s">
        <v>465</v>
      </c>
      <c r="V88" s="84">
        <v>99</v>
      </c>
      <c r="W88" s="85">
        <v>0.84</v>
      </c>
      <c r="X88" s="86">
        <v>0.69479999999999997</v>
      </c>
      <c r="Y88" s="86">
        <v>0.16209999999999999</v>
      </c>
      <c r="Z88" s="85">
        <v>0.55000000000000004</v>
      </c>
      <c r="AA88" s="86">
        <v>8.5000000000000006E-2</v>
      </c>
      <c r="AB88" s="85">
        <v>0.6</v>
      </c>
      <c r="AC88" s="87">
        <v>0.31580000000000003</v>
      </c>
      <c r="AD88" s="86">
        <v>0.27379999999999999</v>
      </c>
      <c r="AE88" s="86">
        <v>0.1295</v>
      </c>
      <c r="AG88" s="171">
        <v>42278</v>
      </c>
      <c r="AH88" s="177">
        <v>1920</v>
      </c>
      <c r="AI88" s="181">
        <v>2.06E-2</v>
      </c>
      <c r="AJ88" s="177">
        <v>100.83</v>
      </c>
      <c r="AK88" s="85">
        <v>104.2</v>
      </c>
      <c r="AL88" s="85">
        <v>74.239999999999995</v>
      </c>
      <c r="AM88" s="181">
        <v>6.25E-2</v>
      </c>
      <c r="AN88" s="86"/>
      <c r="AO88" s="179">
        <v>2015</v>
      </c>
    </row>
    <row r="89" spans="1:41" x14ac:dyDescent="0.3">
      <c r="A89" s="236" t="s">
        <v>741</v>
      </c>
      <c r="B89" s="126">
        <v>69.92</v>
      </c>
      <c r="C89" s="170">
        <v>48000</v>
      </c>
      <c r="D89" s="126">
        <v>2031</v>
      </c>
      <c r="E89" s="126">
        <v>6</v>
      </c>
      <c r="F89" s="126" t="str">
        <f>IF(E89&lt;4,"1T",IF(E89&lt;7,"2T",IF(E89&lt;10,"3T","4T")))&amp;RIGHT(D89,2)</f>
        <v>2T31</v>
      </c>
      <c r="N89" s="170">
        <v>45047</v>
      </c>
      <c r="O89" s="174">
        <v>79.31</v>
      </c>
      <c r="P89" s="126">
        <v>2023</v>
      </c>
      <c r="Q89" s="126">
        <v>5</v>
      </c>
      <c r="R89" s="126" t="s">
        <v>139</v>
      </c>
      <c r="T89" s="126">
        <v>2022</v>
      </c>
      <c r="U89" s="126" t="s">
        <v>466</v>
      </c>
      <c r="V89" s="127">
        <v>461</v>
      </c>
      <c r="W89" s="128">
        <v>1.2</v>
      </c>
      <c r="X89" s="129">
        <v>0.1399</v>
      </c>
      <c r="Y89" s="129">
        <v>8.4000000000000005E-2</v>
      </c>
      <c r="Z89" s="128">
        <v>1.08</v>
      </c>
      <c r="AA89" s="129">
        <v>7.7299999999999994E-2</v>
      </c>
      <c r="AB89" s="128">
        <v>1.18</v>
      </c>
      <c r="AC89" s="130">
        <v>0.38729999999999998</v>
      </c>
      <c r="AD89" s="129">
        <v>0.35580000000000001</v>
      </c>
      <c r="AE89" s="129">
        <v>0.1414</v>
      </c>
      <c r="AG89" s="170">
        <v>42309</v>
      </c>
      <c r="AH89" s="176">
        <v>2079</v>
      </c>
      <c r="AI89" s="180">
        <v>2.1499999999999998E-2</v>
      </c>
      <c r="AJ89" s="176">
        <v>100.83</v>
      </c>
      <c r="AK89" s="128">
        <v>104.2</v>
      </c>
      <c r="AL89" s="128">
        <v>74.239999999999995</v>
      </c>
      <c r="AM89" s="180">
        <v>6.2899999999999998E-2</v>
      </c>
      <c r="AN89" s="129"/>
      <c r="AO89" s="178">
        <v>2015</v>
      </c>
    </row>
    <row r="90" spans="1:41" x14ac:dyDescent="0.3">
      <c r="C90"/>
      <c r="N90" s="171">
        <v>45048</v>
      </c>
      <c r="O90" s="175">
        <v>75.319999999999993</v>
      </c>
      <c r="P90" s="83">
        <v>2023</v>
      </c>
      <c r="Q90" s="83">
        <v>5</v>
      </c>
      <c r="R90" s="83" t="s">
        <v>139</v>
      </c>
      <c r="T90" s="83">
        <v>2022</v>
      </c>
      <c r="U90" s="83" t="s">
        <v>467</v>
      </c>
      <c r="V90" s="84">
        <v>295</v>
      </c>
      <c r="W90" s="85">
        <v>0.83</v>
      </c>
      <c r="X90" s="86">
        <v>0.83560000000000001</v>
      </c>
      <c r="Y90" s="86">
        <v>0.1368</v>
      </c>
      <c r="Z90" s="85">
        <v>0.51</v>
      </c>
      <c r="AA90" s="86">
        <v>4.2700000000000002E-2</v>
      </c>
      <c r="AB90" s="85">
        <v>0.53</v>
      </c>
      <c r="AC90" s="87">
        <v>0.34660000000000002</v>
      </c>
      <c r="AD90" s="86">
        <v>0.33229999999999998</v>
      </c>
      <c r="AE90" s="86">
        <v>8.0399999999999999E-2</v>
      </c>
      <c r="AG90" s="171">
        <v>42339</v>
      </c>
      <c r="AH90" s="177">
        <v>2080</v>
      </c>
      <c r="AI90" s="181">
        <v>2.2100000000000002E-2</v>
      </c>
      <c r="AJ90" s="177">
        <v>100.83</v>
      </c>
      <c r="AK90" s="85">
        <v>104.2</v>
      </c>
      <c r="AL90" s="85">
        <v>74.239999999999995</v>
      </c>
      <c r="AM90" s="181">
        <v>6.3200000000000006E-2</v>
      </c>
      <c r="AN90" s="86"/>
      <c r="AO90" s="179">
        <v>2015</v>
      </c>
    </row>
    <row r="91" spans="1:41" x14ac:dyDescent="0.3">
      <c r="C91"/>
      <c r="N91" s="170">
        <v>45049</v>
      </c>
      <c r="O91" s="174">
        <v>72.33</v>
      </c>
      <c r="P91" s="126">
        <v>2023</v>
      </c>
      <c r="Q91" s="126">
        <v>5</v>
      </c>
      <c r="R91" s="126" t="s">
        <v>139</v>
      </c>
      <c r="T91" s="126">
        <v>2022</v>
      </c>
      <c r="U91" s="126" t="s">
        <v>468</v>
      </c>
      <c r="V91" s="127">
        <v>56</v>
      </c>
      <c r="W91" s="128">
        <v>0.89</v>
      </c>
      <c r="X91" s="129">
        <v>0.26819999999999999</v>
      </c>
      <c r="Y91" s="129">
        <v>0.18770000000000001</v>
      </c>
      <c r="Z91" s="128">
        <v>0.74</v>
      </c>
      <c r="AA91" s="129">
        <v>4.19E-2</v>
      </c>
      <c r="AB91" s="128">
        <v>0.78</v>
      </c>
      <c r="AC91" s="130">
        <v>0.35149999999999998</v>
      </c>
      <c r="AD91" s="129">
        <v>0.28820000000000001</v>
      </c>
      <c r="AE91" s="129">
        <v>0.12470000000000001</v>
      </c>
      <c r="AG91" s="170">
        <v>42370</v>
      </c>
      <c r="AH91" s="176">
        <v>2044</v>
      </c>
      <c r="AI91" s="180">
        <v>2.2700000000000001E-2</v>
      </c>
      <c r="AJ91" s="176">
        <v>107.33</v>
      </c>
      <c r="AK91" s="128">
        <v>106.1</v>
      </c>
      <c r="AL91" s="128">
        <v>74.239999999999995</v>
      </c>
      <c r="AM91" s="180">
        <v>5.5500000000000001E-2</v>
      </c>
      <c r="AN91" s="129">
        <v>5.16E-2</v>
      </c>
      <c r="AO91" s="178">
        <v>2016</v>
      </c>
    </row>
    <row r="92" spans="1:41" x14ac:dyDescent="0.3">
      <c r="N92" s="171">
        <v>45050</v>
      </c>
      <c r="O92" s="175">
        <v>72.5</v>
      </c>
      <c r="P92" s="83">
        <v>2023</v>
      </c>
      <c r="Q92" s="83">
        <v>5</v>
      </c>
      <c r="R92" s="83" t="s">
        <v>139</v>
      </c>
      <c r="T92" s="83">
        <v>2022</v>
      </c>
      <c r="U92" s="83" t="s">
        <v>492</v>
      </c>
      <c r="V92" s="84">
        <v>302</v>
      </c>
      <c r="W92" s="85">
        <v>1.01</v>
      </c>
      <c r="X92" s="86">
        <v>0.45229999999999998</v>
      </c>
      <c r="Y92" s="86">
        <v>0.1726</v>
      </c>
      <c r="Z92" s="85">
        <v>0.76</v>
      </c>
      <c r="AA92" s="86">
        <v>8.8999999999999996E-2</v>
      </c>
      <c r="AB92" s="85">
        <v>0.83</v>
      </c>
      <c r="AC92" s="87">
        <v>0.3382</v>
      </c>
      <c r="AD92" s="86">
        <v>0.31080000000000002</v>
      </c>
      <c r="AE92" s="86">
        <v>0.2296</v>
      </c>
      <c r="AG92" s="171">
        <v>42401</v>
      </c>
      <c r="AH92" s="177">
        <v>1940</v>
      </c>
      <c r="AI92" s="181">
        <v>1.9199999999999998E-2</v>
      </c>
      <c r="AJ92" s="177">
        <v>107.33</v>
      </c>
      <c r="AK92" s="85">
        <v>106.1</v>
      </c>
      <c r="AL92" s="85">
        <v>74.239999999999995</v>
      </c>
      <c r="AM92" s="181">
        <v>5.3800000000000001E-2</v>
      </c>
      <c r="AN92" s="86">
        <v>5.6099999999999997E-2</v>
      </c>
      <c r="AO92" s="179">
        <v>2016</v>
      </c>
    </row>
    <row r="93" spans="1:41" x14ac:dyDescent="0.3">
      <c r="N93" s="170">
        <v>45051</v>
      </c>
      <c r="O93" s="174">
        <v>75.3</v>
      </c>
      <c r="P93" s="126">
        <v>2023</v>
      </c>
      <c r="Q93" s="126">
        <v>5</v>
      </c>
      <c r="R93" s="126" t="s">
        <v>139</v>
      </c>
      <c r="T93" s="126">
        <v>2022</v>
      </c>
      <c r="U93" s="126" t="s">
        <v>493</v>
      </c>
      <c r="V93" s="127">
        <v>50</v>
      </c>
      <c r="W93" s="128">
        <v>0.67</v>
      </c>
      <c r="X93" s="129">
        <v>0.39069999999999999</v>
      </c>
      <c r="Y93" s="129">
        <v>0.2137</v>
      </c>
      <c r="Z93" s="128">
        <v>0.52</v>
      </c>
      <c r="AA93" s="129">
        <v>3.3500000000000002E-2</v>
      </c>
      <c r="AB93" s="128">
        <v>0.54</v>
      </c>
      <c r="AC93" s="130">
        <v>0.1797</v>
      </c>
      <c r="AD93" s="129">
        <v>0.1905</v>
      </c>
      <c r="AE93" s="129">
        <v>0.2135</v>
      </c>
      <c r="AG93" s="170">
        <v>42430</v>
      </c>
      <c r="AH93" s="176">
        <v>1932</v>
      </c>
      <c r="AI93" s="180">
        <v>1.7399999999999999E-2</v>
      </c>
      <c r="AJ93" s="176">
        <v>107.33</v>
      </c>
      <c r="AK93" s="128">
        <v>106.1</v>
      </c>
      <c r="AL93" s="128">
        <v>74.239999999999995</v>
      </c>
      <c r="AM93" s="180">
        <v>5.2900000000000003E-2</v>
      </c>
      <c r="AN93" s="129">
        <v>5.7200000000000001E-2</v>
      </c>
      <c r="AO93" s="178">
        <v>2016</v>
      </c>
    </row>
    <row r="94" spans="1:41" x14ac:dyDescent="0.3">
      <c r="N94" s="171">
        <v>45054</v>
      </c>
      <c r="O94" s="175">
        <v>77.010000000000005</v>
      </c>
      <c r="P94" s="83">
        <v>2023</v>
      </c>
      <c r="Q94" s="83">
        <v>5</v>
      </c>
      <c r="R94" s="83" t="s">
        <v>139</v>
      </c>
      <c r="T94" s="83">
        <v>2022</v>
      </c>
      <c r="U94" s="83" t="s">
        <v>469</v>
      </c>
      <c r="V94" s="84">
        <v>220</v>
      </c>
      <c r="W94" s="85">
        <v>1.08</v>
      </c>
      <c r="X94" s="86">
        <v>0.58799999999999997</v>
      </c>
      <c r="Y94" s="86">
        <v>0.16869999999999999</v>
      </c>
      <c r="Z94" s="85">
        <v>0.75</v>
      </c>
      <c r="AA94" s="86">
        <v>6.59E-2</v>
      </c>
      <c r="AB94" s="85">
        <v>0.8</v>
      </c>
      <c r="AC94" s="87">
        <v>0.33110000000000001</v>
      </c>
      <c r="AD94" s="86">
        <v>0.318</v>
      </c>
      <c r="AE94" s="86">
        <v>0.60450000000000004</v>
      </c>
      <c r="AG94" s="171">
        <v>42461</v>
      </c>
      <c r="AH94" s="177">
        <v>2060</v>
      </c>
      <c r="AI94" s="181">
        <v>1.77E-2</v>
      </c>
      <c r="AJ94" s="177">
        <v>108.35</v>
      </c>
      <c r="AK94" s="85">
        <v>108.16</v>
      </c>
      <c r="AL94" s="85">
        <v>74.239999999999995</v>
      </c>
      <c r="AM94" s="181">
        <v>5.3199999999999997E-2</v>
      </c>
      <c r="AN94" s="86">
        <v>5.1499999999999997E-2</v>
      </c>
      <c r="AO94" s="179">
        <v>2016</v>
      </c>
    </row>
    <row r="95" spans="1:41" x14ac:dyDescent="0.3">
      <c r="N95" s="170">
        <v>45055</v>
      </c>
      <c r="O95" s="174">
        <v>77.44</v>
      </c>
      <c r="P95" s="126">
        <v>2023</v>
      </c>
      <c r="Q95" s="126">
        <v>5</v>
      </c>
      <c r="R95" s="126" t="s">
        <v>139</v>
      </c>
      <c r="T95" s="126">
        <v>2022</v>
      </c>
      <c r="U95" s="126" t="s">
        <v>470</v>
      </c>
      <c r="V95" s="127">
        <v>51</v>
      </c>
      <c r="W95" s="128">
        <v>0.68</v>
      </c>
      <c r="X95" s="129">
        <v>0.80659999999999998</v>
      </c>
      <c r="Y95" s="129">
        <v>0.15579999999999999</v>
      </c>
      <c r="Z95" s="128">
        <v>0.42</v>
      </c>
      <c r="AA95" s="129">
        <v>4.9299999999999997E-2</v>
      </c>
      <c r="AB95" s="128">
        <v>0.45</v>
      </c>
      <c r="AC95" s="130">
        <v>0.20469999999999999</v>
      </c>
      <c r="AD95" s="129">
        <v>0.1837</v>
      </c>
      <c r="AE95" s="129">
        <v>0.128</v>
      </c>
      <c r="AG95" s="170">
        <v>42491</v>
      </c>
      <c r="AH95" s="176">
        <v>2065</v>
      </c>
      <c r="AI95" s="180">
        <v>1.83E-2</v>
      </c>
      <c r="AJ95" s="176">
        <v>108.35</v>
      </c>
      <c r="AK95" s="128">
        <v>108.99</v>
      </c>
      <c r="AL95" s="128">
        <v>82.17</v>
      </c>
      <c r="AM95" s="180">
        <v>5.33E-2</v>
      </c>
      <c r="AN95" s="129">
        <v>5.11E-2</v>
      </c>
      <c r="AO95" s="178">
        <v>2016</v>
      </c>
    </row>
    <row r="96" spans="1:41" x14ac:dyDescent="0.3">
      <c r="N96" s="171">
        <v>45056</v>
      </c>
      <c r="O96" s="175">
        <v>76.41</v>
      </c>
      <c r="P96" s="83">
        <v>2023</v>
      </c>
      <c r="Q96" s="83">
        <v>5</v>
      </c>
      <c r="R96" s="83" t="s">
        <v>139</v>
      </c>
      <c r="T96" s="83">
        <v>2022</v>
      </c>
      <c r="U96" s="83" t="s">
        <v>471</v>
      </c>
      <c r="V96" s="84">
        <v>104</v>
      </c>
      <c r="W96" s="85">
        <v>0.74</v>
      </c>
      <c r="X96" s="86">
        <v>0.82679999999999998</v>
      </c>
      <c r="Y96" s="86">
        <v>0.12889999999999999</v>
      </c>
      <c r="Z96" s="85">
        <v>0.46</v>
      </c>
      <c r="AA96" s="86">
        <v>6.08E-2</v>
      </c>
      <c r="AB96" s="85">
        <v>0.49</v>
      </c>
      <c r="AC96" s="87">
        <v>0.29170000000000001</v>
      </c>
      <c r="AD96" s="86">
        <v>0.3589</v>
      </c>
      <c r="AE96" s="86">
        <v>0.18509999999999999</v>
      </c>
      <c r="AG96" s="171">
        <v>42522</v>
      </c>
      <c r="AH96" s="177">
        <v>2097</v>
      </c>
      <c r="AI96" s="181">
        <v>1.83E-2</v>
      </c>
      <c r="AJ96" s="177">
        <v>108.35</v>
      </c>
      <c r="AK96" s="85">
        <v>108.88</v>
      </c>
      <c r="AL96" s="85">
        <v>82.17</v>
      </c>
      <c r="AM96" s="181">
        <v>5.33E-2</v>
      </c>
      <c r="AN96" s="86">
        <v>5.0299999999999997E-2</v>
      </c>
      <c r="AO96" s="179">
        <v>2016</v>
      </c>
    </row>
    <row r="97" spans="14:41" x14ac:dyDescent="0.3">
      <c r="N97" s="170">
        <v>45057</v>
      </c>
      <c r="O97" s="174">
        <v>74.98</v>
      </c>
      <c r="P97" s="126">
        <v>2023</v>
      </c>
      <c r="Q97" s="126">
        <v>5</v>
      </c>
      <c r="R97" s="126" t="s">
        <v>139</v>
      </c>
      <c r="T97" s="126">
        <v>2022</v>
      </c>
      <c r="U97" s="126" t="s">
        <v>472</v>
      </c>
      <c r="V97" s="127">
        <v>47913</v>
      </c>
      <c r="W97" s="128">
        <v>1.07</v>
      </c>
      <c r="X97" s="129">
        <v>0.67969999999999997</v>
      </c>
      <c r="Y97" s="129">
        <v>0.12590000000000001</v>
      </c>
      <c r="Z97" s="128">
        <v>0.71</v>
      </c>
      <c r="AA97" s="129">
        <v>0.1346</v>
      </c>
      <c r="AB97" s="128">
        <v>0.82</v>
      </c>
      <c r="AC97" s="130">
        <v>0.37740000000000001</v>
      </c>
      <c r="AD97" s="129">
        <v>0.3589</v>
      </c>
      <c r="AE97" s="129">
        <v>0.20100000000000001</v>
      </c>
      <c r="AG97" s="170">
        <v>42552</v>
      </c>
      <c r="AH97" s="176">
        <v>2099</v>
      </c>
      <c r="AI97" s="180">
        <v>1.47E-2</v>
      </c>
      <c r="AJ97" s="176">
        <v>111.06</v>
      </c>
      <c r="AK97" s="128">
        <v>110.61</v>
      </c>
      <c r="AL97" s="128">
        <v>82.17</v>
      </c>
      <c r="AM97" s="180">
        <v>5.1499999999999997E-2</v>
      </c>
      <c r="AN97" s="129">
        <v>5.0799999999999998E-2</v>
      </c>
      <c r="AO97" s="178">
        <v>2016</v>
      </c>
    </row>
    <row r="98" spans="14:41" x14ac:dyDescent="0.3">
      <c r="N98" s="171">
        <v>45058</v>
      </c>
      <c r="O98" s="175">
        <v>74.17</v>
      </c>
      <c r="P98" s="83">
        <v>2023</v>
      </c>
      <c r="Q98" s="83">
        <v>5</v>
      </c>
      <c r="R98" s="83" t="s">
        <v>139</v>
      </c>
      <c r="T98" s="83">
        <v>2022</v>
      </c>
      <c r="U98" s="83" t="s">
        <v>495</v>
      </c>
      <c r="V98" s="84">
        <v>42593</v>
      </c>
      <c r="W98" s="85">
        <v>1.1000000000000001</v>
      </c>
      <c r="X98" s="86">
        <v>0.34239999999999998</v>
      </c>
      <c r="Y98" s="86">
        <v>0.12479999999999999</v>
      </c>
      <c r="Z98" s="85">
        <v>0.88</v>
      </c>
      <c r="AA98" s="86">
        <v>7.2999999999999995E-2</v>
      </c>
      <c r="AB98" s="85">
        <v>0.95</v>
      </c>
      <c r="AC98" s="87">
        <v>0.38969999999999999</v>
      </c>
      <c r="AD98" s="86">
        <v>0.37019999999999997</v>
      </c>
      <c r="AE98" s="86">
        <v>0.20180000000000001</v>
      </c>
      <c r="AG98" s="171">
        <v>42583</v>
      </c>
      <c r="AH98" s="177">
        <v>2174</v>
      </c>
      <c r="AI98" s="181">
        <v>1.4500000000000001E-2</v>
      </c>
      <c r="AJ98" s="177">
        <v>111.06</v>
      </c>
      <c r="AK98" s="85">
        <v>110.61</v>
      </c>
      <c r="AL98" s="85">
        <v>82.17</v>
      </c>
      <c r="AM98" s="181">
        <v>5.1400000000000001E-2</v>
      </c>
      <c r="AN98" s="86">
        <v>4.9200000000000001E-2</v>
      </c>
      <c r="AO98" s="179">
        <v>2016</v>
      </c>
    </row>
    <row r="99" spans="14:41" x14ac:dyDescent="0.3">
      <c r="N99" s="170">
        <v>45061</v>
      </c>
      <c r="O99" s="174">
        <v>75.23</v>
      </c>
      <c r="P99" s="126">
        <v>2023</v>
      </c>
      <c r="Q99" s="126">
        <v>5</v>
      </c>
      <c r="R99" s="126" t="s">
        <v>139</v>
      </c>
      <c r="T99" s="126">
        <v>2023</v>
      </c>
      <c r="U99" s="126" t="s">
        <v>400</v>
      </c>
      <c r="V99" s="127">
        <v>58</v>
      </c>
      <c r="W99" s="128">
        <v>1.63</v>
      </c>
      <c r="X99" s="129">
        <v>0.44990000000000002</v>
      </c>
      <c r="Y99" s="129">
        <v>6.3899999999999998E-2</v>
      </c>
      <c r="Z99" s="128">
        <v>1.22</v>
      </c>
      <c r="AA99" s="129">
        <v>9.35E-2</v>
      </c>
      <c r="AB99" s="128">
        <v>1.35</v>
      </c>
      <c r="AC99" s="130">
        <v>0.68669999999999998</v>
      </c>
      <c r="AD99" s="129">
        <v>0.5272</v>
      </c>
      <c r="AE99" s="129">
        <v>0.14399999999999999</v>
      </c>
      <c r="AG99" s="170">
        <v>42614</v>
      </c>
      <c r="AH99" s="176">
        <v>2171</v>
      </c>
      <c r="AI99" s="180">
        <v>1.5900000000000001E-2</v>
      </c>
      <c r="AJ99" s="176">
        <v>111.06</v>
      </c>
      <c r="AK99" s="128">
        <v>110.61</v>
      </c>
      <c r="AL99" s="128">
        <v>82.17</v>
      </c>
      <c r="AM99" s="180">
        <v>5.21E-2</v>
      </c>
      <c r="AN99" s="129">
        <v>4.8599999999999997E-2</v>
      </c>
      <c r="AO99" s="178">
        <v>2016</v>
      </c>
    </row>
    <row r="100" spans="14:41" x14ac:dyDescent="0.3">
      <c r="N100" s="171">
        <v>45062</v>
      </c>
      <c r="O100" s="175">
        <v>74.91</v>
      </c>
      <c r="P100" s="83">
        <v>2023</v>
      </c>
      <c r="Q100" s="83">
        <v>5</v>
      </c>
      <c r="R100" s="83" t="s">
        <v>139</v>
      </c>
      <c r="T100" s="83">
        <v>2023</v>
      </c>
      <c r="U100" s="83" t="s">
        <v>401</v>
      </c>
      <c r="V100" s="84">
        <v>77</v>
      </c>
      <c r="W100" s="85">
        <v>1.41</v>
      </c>
      <c r="X100" s="86">
        <v>0.2606</v>
      </c>
      <c r="Y100" s="86">
        <v>8.5999999999999993E-2</v>
      </c>
      <c r="Z100" s="85">
        <v>1.18</v>
      </c>
      <c r="AA100" s="86">
        <v>3.7699999999999997E-2</v>
      </c>
      <c r="AB100" s="85">
        <v>1.23</v>
      </c>
      <c r="AC100" s="87">
        <v>0.47210000000000002</v>
      </c>
      <c r="AD100" s="86">
        <v>0.37559999999999999</v>
      </c>
      <c r="AE100" s="86">
        <v>0.19189999999999999</v>
      </c>
      <c r="AG100" s="171">
        <v>42644</v>
      </c>
      <c r="AH100" s="177">
        <v>2168</v>
      </c>
      <c r="AI100" s="181">
        <v>1.6E-2</v>
      </c>
      <c r="AJ100" s="177">
        <v>112.42</v>
      </c>
      <c r="AK100" s="85">
        <v>114.73</v>
      </c>
      <c r="AL100" s="85">
        <v>82.17</v>
      </c>
      <c r="AM100" s="181">
        <v>5.21E-2</v>
      </c>
      <c r="AN100" s="86">
        <v>4.9099999999999998E-2</v>
      </c>
      <c r="AO100" s="179">
        <v>2016</v>
      </c>
    </row>
    <row r="101" spans="14:41" x14ac:dyDescent="0.3">
      <c r="N101" s="170">
        <v>45063</v>
      </c>
      <c r="O101" s="174">
        <v>76.959999999999994</v>
      </c>
      <c r="P101" s="126">
        <v>2023</v>
      </c>
      <c r="Q101" s="126">
        <v>5</v>
      </c>
      <c r="R101" s="126" t="s">
        <v>139</v>
      </c>
      <c r="T101" s="126">
        <v>2023</v>
      </c>
      <c r="U101" s="126" t="s">
        <v>402</v>
      </c>
      <c r="V101" s="127">
        <v>21</v>
      </c>
      <c r="W101" s="128">
        <v>1.42</v>
      </c>
      <c r="X101" s="129">
        <v>1.8633</v>
      </c>
      <c r="Y101" s="129">
        <v>0.1047</v>
      </c>
      <c r="Z101" s="128">
        <v>0.59</v>
      </c>
      <c r="AA101" s="129">
        <v>0.14899999999999999</v>
      </c>
      <c r="AB101" s="128">
        <v>0.69</v>
      </c>
      <c r="AC101" s="130">
        <v>0.44030000000000002</v>
      </c>
      <c r="AD101" s="129">
        <v>0.37730000000000002</v>
      </c>
      <c r="AE101" s="129">
        <v>2.2120000000000002</v>
      </c>
      <c r="AG101" s="170">
        <v>42675</v>
      </c>
      <c r="AH101" s="176">
        <v>2126</v>
      </c>
      <c r="AI101" s="180">
        <v>1.84E-2</v>
      </c>
      <c r="AJ101" s="176">
        <v>112.42</v>
      </c>
      <c r="AK101" s="128">
        <v>114.73</v>
      </c>
      <c r="AL101" s="128">
        <v>82.17</v>
      </c>
      <c r="AM101" s="180">
        <v>5.3199999999999997E-2</v>
      </c>
      <c r="AN101" s="129">
        <v>4.8899999999999999E-2</v>
      </c>
      <c r="AO101" s="178">
        <v>2016</v>
      </c>
    </row>
    <row r="102" spans="14:41" x14ac:dyDescent="0.3">
      <c r="N102" s="171">
        <v>45064</v>
      </c>
      <c r="O102" s="175">
        <v>75.8</v>
      </c>
      <c r="P102" s="83">
        <v>2023</v>
      </c>
      <c r="Q102" s="83">
        <v>5</v>
      </c>
      <c r="R102" s="83" t="s">
        <v>139</v>
      </c>
      <c r="T102" s="83">
        <v>2023</v>
      </c>
      <c r="U102" s="83" t="s">
        <v>403</v>
      </c>
      <c r="V102" s="84">
        <v>39</v>
      </c>
      <c r="W102" s="85">
        <v>1.32</v>
      </c>
      <c r="X102" s="86">
        <v>0.51570000000000005</v>
      </c>
      <c r="Y102" s="86">
        <v>0.12039999999999999</v>
      </c>
      <c r="Z102" s="85">
        <v>0.96</v>
      </c>
      <c r="AA102" s="86">
        <v>6.0199999999999997E-2</v>
      </c>
      <c r="AB102" s="85">
        <v>1.02</v>
      </c>
      <c r="AC102" s="87">
        <v>0.52200000000000002</v>
      </c>
      <c r="AD102" s="86">
        <v>0.3851</v>
      </c>
      <c r="AE102" s="86">
        <v>0.23019999999999999</v>
      </c>
      <c r="AG102" s="171">
        <v>42705</v>
      </c>
      <c r="AH102" s="177">
        <v>2199</v>
      </c>
      <c r="AI102" s="181">
        <v>2.3900000000000001E-2</v>
      </c>
      <c r="AJ102" s="177">
        <v>112.42</v>
      </c>
      <c r="AK102" s="85">
        <v>114.73</v>
      </c>
      <c r="AL102" s="85">
        <v>82.17</v>
      </c>
      <c r="AM102" s="181">
        <v>5.62E-2</v>
      </c>
      <c r="AN102" s="86">
        <v>4.4999999999999998E-2</v>
      </c>
      <c r="AO102" s="179">
        <v>2016</v>
      </c>
    </row>
    <row r="103" spans="14:41" x14ac:dyDescent="0.3">
      <c r="N103" s="170">
        <v>45065</v>
      </c>
      <c r="O103" s="174">
        <v>75.47</v>
      </c>
      <c r="P103" s="126">
        <v>2023</v>
      </c>
      <c r="Q103" s="126">
        <v>5</v>
      </c>
      <c r="R103" s="126" t="s">
        <v>139</v>
      </c>
      <c r="T103" s="126">
        <v>2023</v>
      </c>
      <c r="U103" s="126" t="s">
        <v>404</v>
      </c>
      <c r="V103" s="127">
        <v>31</v>
      </c>
      <c r="W103" s="128">
        <v>1.54</v>
      </c>
      <c r="X103" s="129">
        <v>0.50190000000000001</v>
      </c>
      <c r="Y103" s="129">
        <v>0.03</v>
      </c>
      <c r="Z103" s="128">
        <v>1.1200000000000001</v>
      </c>
      <c r="AA103" s="129">
        <v>8.6699999999999999E-2</v>
      </c>
      <c r="AB103" s="128">
        <v>1.23</v>
      </c>
      <c r="AC103" s="130">
        <v>0.69059999999999999</v>
      </c>
      <c r="AD103" s="129">
        <v>0.52610000000000001</v>
      </c>
      <c r="AE103" s="129">
        <v>0.46100000000000002</v>
      </c>
      <c r="AG103" s="170">
        <v>42736</v>
      </c>
      <c r="AH103" s="176">
        <v>2239</v>
      </c>
      <c r="AI103" s="180">
        <v>2.4500000000000001E-2</v>
      </c>
      <c r="AJ103" s="176">
        <v>117.78</v>
      </c>
      <c r="AK103" s="128">
        <v>108.67</v>
      </c>
      <c r="AL103" s="128">
        <v>85.67</v>
      </c>
      <c r="AM103" s="180">
        <v>5.5399999999999998E-2</v>
      </c>
      <c r="AN103" s="129">
        <v>4.4999999999999998E-2</v>
      </c>
      <c r="AO103" s="178">
        <v>2017</v>
      </c>
    </row>
    <row r="104" spans="14:41" x14ac:dyDescent="0.3">
      <c r="N104" s="171">
        <v>45068</v>
      </c>
      <c r="O104" s="175">
        <v>75.87</v>
      </c>
      <c r="P104" s="83">
        <v>2023</v>
      </c>
      <c r="Q104" s="83">
        <v>5</v>
      </c>
      <c r="R104" s="83" t="s">
        <v>139</v>
      </c>
      <c r="T104" s="83">
        <v>2023</v>
      </c>
      <c r="U104" s="83" t="s">
        <v>405</v>
      </c>
      <c r="V104" s="84">
        <v>37</v>
      </c>
      <c r="W104" s="85">
        <v>1.47</v>
      </c>
      <c r="X104" s="86">
        <v>0.42659999999999998</v>
      </c>
      <c r="Y104" s="86">
        <v>9.2999999999999999E-2</v>
      </c>
      <c r="Z104" s="85">
        <v>1.1200000000000001</v>
      </c>
      <c r="AA104" s="86">
        <v>7.1300000000000002E-2</v>
      </c>
      <c r="AB104" s="85">
        <v>1.2</v>
      </c>
      <c r="AC104" s="87">
        <v>0.50990000000000002</v>
      </c>
      <c r="AD104" s="86">
        <v>0.3952</v>
      </c>
      <c r="AE104" s="86">
        <v>0.25419999999999998</v>
      </c>
      <c r="AG104" s="171">
        <v>42767</v>
      </c>
      <c r="AH104" s="177">
        <v>2279</v>
      </c>
      <c r="AI104" s="181">
        <v>2.47E-2</v>
      </c>
      <c r="AJ104" s="177">
        <v>117.78</v>
      </c>
      <c r="AK104" s="85">
        <v>108.67</v>
      </c>
      <c r="AL104" s="85">
        <v>85.67</v>
      </c>
      <c r="AM104" s="181">
        <v>5.5500000000000001E-2</v>
      </c>
      <c r="AN104" s="86">
        <v>4.41E-2</v>
      </c>
      <c r="AO104" s="179">
        <v>2017</v>
      </c>
    </row>
    <row r="105" spans="14:41" x14ac:dyDescent="0.3">
      <c r="N105" s="170">
        <v>45069</v>
      </c>
      <c r="O105" s="174">
        <v>76.739999999999995</v>
      </c>
      <c r="P105" s="126">
        <v>2023</v>
      </c>
      <c r="Q105" s="126">
        <v>5</v>
      </c>
      <c r="R105" s="126" t="s">
        <v>139</v>
      </c>
      <c r="T105" s="126">
        <v>2023</v>
      </c>
      <c r="U105" s="126" t="s">
        <v>474</v>
      </c>
      <c r="V105" s="127">
        <v>7</v>
      </c>
      <c r="W105" s="128">
        <v>1.08</v>
      </c>
      <c r="X105" s="129">
        <v>2.1638000000000002</v>
      </c>
      <c r="Y105" s="129">
        <v>0.16250000000000001</v>
      </c>
      <c r="Z105" s="128">
        <v>0.41</v>
      </c>
      <c r="AA105" s="129">
        <v>0.443</v>
      </c>
      <c r="AB105" s="128">
        <v>0.74</v>
      </c>
      <c r="AC105" s="130">
        <v>0.2235</v>
      </c>
      <c r="AD105" s="129">
        <v>0.19589999999999999</v>
      </c>
      <c r="AE105" s="129" t="s">
        <v>496</v>
      </c>
      <c r="AG105" s="170">
        <v>42795</v>
      </c>
      <c r="AH105" s="176">
        <v>2364</v>
      </c>
      <c r="AI105" s="180">
        <v>2.3900000000000001E-2</v>
      </c>
      <c r="AJ105" s="176">
        <v>117.78</v>
      </c>
      <c r="AK105" s="128">
        <v>108.67</v>
      </c>
      <c r="AL105" s="128">
        <v>85.67</v>
      </c>
      <c r="AM105" s="180">
        <v>5.5100000000000003E-2</v>
      </c>
      <c r="AN105" s="129">
        <v>4.2900000000000001E-2</v>
      </c>
      <c r="AO105" s="178">
        <v>2017</v>
      </c>
    </row>
    <row r="106" spans="14:41" x14ac:dyDescent="0.3">
      <c r="N106" s="171">
        <v>45070</v>
      </c>
      <c r="O106" s="175">
        <v>78.23</v>
      </c>
      <c r="P106" s="83">
        <v>2023</v>
      </c>
      <c r="Q106" s="83">
        <v>5</v>
      </c>
      <c r="R106" s="83" t="s">
        <v>139</v>
      </c>
      <c r="T106" s="83">
        <v>2023</v>
      </c>
      <c r="U106" s="83" t="s">
        <v>406</v>
      </c>
      <c r="V106" s="84">
        <v>557</v>
      </c>
      <c r="W106" s="85">
        <v>0.5</v>
      </c>
      <c r="X106" s="86">
        <v>0.6462</v>
      </c>
      <c r="Y106" s="86">
        <v>0.18840000000000001</v>
      </c>
      <c r="Z106" s="85">
        <v>0.34</v>
      </c>
      <c r="AA106" s="86">
        <v>0.17660000000000001</v>
      </c>
      <c r="AB106" s="85">
        <v>0.41</v>
      </c>
      <c r="AC106" s="87">
        <v>0.1757</v>
      </c>
      <c r="AD106" s="86">
        <v>0.1676</v>
      </c>
      <c r="AE106" s="86">
        <v>0.95489999999999997</v>
      </c>
      <c r="AG106" s="171">
        <v>42826</v>
      </c>
      <c r="AH106" s="177">
        <v>2363</v>
      </c>
      <c r="AI106" s="181">
        <v>2.3900000000000001E-2</v>
      </c>
      <c r="AJ106" s="177">
        <v>124.27</v>
      </c>
      <c r="AK106" s="85">
        <v>108.43</v>
      </c>
      <c r="AL106" s="85">
        <v>86.97</v>
      </c>
      <c r="AM106" s="181">
        <v>5.5100000000000003E-2</v>
      </c>
      <c r="AN106" s="86">
        <v>4.5100000000000001E-2</v>
      </c>
      <c r="AO106" s="179">
        <v>2017</v>
      </c>
    </row>
    <row r="107" spans="14:41" x14ac:dyDescent="0.3">
      <c r="N107" s="170">
        <v>45071</v>
      </c>
      <c r="O107" s="174">
        <v>76.180000000000007</v>
      </c>
      <c r="P107" s="126">
        <v>2023</v>
      </c>
      <c r="Q107" s="126">
        <v>5</v>
      </c>
      <c r="R107" s="126" t="s">
        <v>139</v>
      </c>
      <c r="T107" s="126">
        <v>2023</v>
      </c>
      <c r="U107" s="126" t="s">
        <v>407</v>
      </c>
      <c r="V107" s="127">
        <v>23</v>
      </c>
      <c r="W107" s="128">
        <v>1.01</v>
      </c>
      <c r="X107" s="129">
        <v>0.2291</v>
      </c>
      <c r="Y107" s="129">
        <v>9.3899999999999997E-2</v>
      </c>
      <c r="Z107" s="128">
        <v>0.86</v>
      </c>
      <c r="AA107" s="129">
        <v>1.8599999999999998E-2</v>
      </c>
      <c r="AB107" s="128">
        <v>0.88</v>
      </c>
      <c r="AC107" s="130">
        <v>0.58709999999999996</v>
      </c>
      <c r="AD107" s="129">
        <v>0.49869999999999998</v>
      </c>
      <c r="AE107" s="129">
        <v>0.33800000000000002</v>
      </c>
      <c r="AG107" s="170">
        <v>42856</v>
      </c>
      <c r="AH107" s="176">
        <v>2384</v>
      </c>
      <c r="AI107" s="180">
        <v>2.3E-2</v>
      </c>
      <c r="AJ107" s="176">
        <v>124.27</v>
      </c>
      <c r="AK107" s="128">
        <v>108.43</v>
      </c>
      <c r="AL107" s="128">
        <v>86.97</v>
      </c>
      <c r="AM107" s="180">
        <v>5.4600000000000003E-2</v>
      </c>
      <c r="AN107" s="129">
        <v>4.5100000000000001E-2</v>
      </c>
      <c r="AO107" s="178">
        <v>2017</v>
      </c>
    </row>
    <row r="108" spans="14:41" x14ac:dyDescent="0.3">
      <c r="N108" s="171">
        <v>45072</v>
      </c>
      <c r="O108" s="175">
        <v>76.98</v>
      </c>
      <c r="P108" s="83">
        <v>2023</v>
      </c>
      <c r="Q108" s="83">
        <v>5</v>
      </c>
      <c r="R108" s="83" t="s">
        <v>139</v>
      </c>
      <c r="T108" s="83">
        <v>2023</v>
      </c>
      <c r="U108" s="83" t="s">
        <v>475</v>
      </c>
      <c r="V108" s="84">
        <v>31</v>
      </c>
      <c r="W108" s="85">
        <v>1.3</v>
      </c>
      <c r="X108" s="86">
        <v>0.1527</v>
      </c>
      <c r="Y108" s="86">
        <v>6.4199999999999993E-2</v>
      </c>
      <c r="Z108" s="85">
        <v>1.17</v>
      </c>
      <c r="AA108" s="86">
        <v>2.6599999999999999E-2</v>
      </c>
      <c r="AB108" s="85">
        <v>1.2</v>
      </c>
      <c r="AC108" s="87">
        <v>0.61050000000000004</v>
      </c>
      <c r="AD108" s="86">
        <v>0.41720000000000002</v>
      </c>
      <c r="AE108" s="86">
        <v>9.3600000000000003E-2</v>
      </c>
      <c r="AG108" s="171">
        <v>42887</v>
      </c>
      <c r="AH108" s="177">
        <v>2412</v>
      </c>
      <c r="AI108" s="181">
        <v>2.2100000000000002E-2</v>
      </c>
      <c r="AJ108" s="177">
        <v>124.27</v>
      </c>
      <c r="AK108" s="85">
        <v>108.43</v>
      </c>
      <c r="AL108" s="85">
        <v>86.97</v>
      </c>
      <c r="AM108" s="181">
        <v>5.4199999999999998E-2</v>
      </c>
      <c r="AN108" s="86">
        <v>4.4900000000000002E-2</v>
      </c>
      <c r="AO108" s="179">
        <v>2017</v>
      </c>
    </row>
    <row r="109" spans="14:41" x14ac:dyDescent="0.3">
      <c r="N109" s="170">
        <v>45075</v>
      </c>
      <c r="O109" s="174">
        <v>77.099999999999994</v>
      </c>
      <c r="P109" s="126">
        <v>2023</v>
      </c>
      <c r="Q109" s="126">
        <v>5</v>
      </c>
      <c r="R109" s="126" t="s">
        <v>139</v>
      </c>
      <c r="T109" s="126">
        <v>2023</v>
      </c>
      <c r="U109" s="126" t="s">
        <v>408</v>
      </c>
      <c r="V109" s="127">
        <v>26</v>
      </c>
      <c r="W109" s="128">
        <v>1.32</v>
      </c>
      <c r="X109" s="129">
        <v>1.4682999999999999</v>
      </c>
      <c r="Y109" s="129">
        <v>0.15759999999999999</v>
      </c>
      <c r="Z109" s="128">
        <v>0.63</v>
      </c>
      <c r="AA109" s="129">
        <v>0.10390000000000001</v>
      </c>
      <c r="AB109" s="128">
        <v>0.7</v>
      </c>
      <c r="AC109" s="130">
        <v>0.55840000000000001</v>
      </c>
      <c r="AD109" s="129">
        <v>0.46899999999999997</v>
      </c>
      <c r="AE109" s="129">
        <v>0.31659999999999999</v>
      </c>
      <c r="AG109" s="170">
        <v>42917</v>
      </c>
      <c r="AH109" s="176">
        <v>2423</v>
      </c>
      <c r="AI109" s="180">
        <v>2.3E-2</v>
      </c>
      <c r="AJ109" s="176">
        <v>127.46</v>
      </c>
      <c r="AK109" s="128">
        <v>105.68</v>
      </c>
      <c r="AL109" s="128">
        <v>86.97</v>
      </c>
      <c r="AM109" s="180">
        <v>5.4600000000000003E-2</v>
      </c>
      <c r="AN109" s="129">
        <v>4.6199999999999998E-2</v>
      </c>
      <c r="AO109" s="178">
        <v>2017</v>
      </c>
    </row>
    <row r="110" spans="14:41" x14ac:dyDescent="0.3">
      <c r="N110" s="171">
        <v>45076</v>
      </c>
      <c r="O110" s="175">
        <v>73.709999999999994</v>
      </c>
      <c r="P110" s="83">
        <v>2023</v>
      </c>
      <c r="Q110" s="83">
        <v>5</v>
      </c>
      <c r="R110" s="83" t="s">
        <v>139</v>
      </c>
      <c r="T110" s="83">
        <v>2023</v>
      </c>
      <c r="U110" s="83" t="s">
        <v>409</v>
      </c>
      <c r="V110" s="84">
        <v>30</v>
      </c>
      <c r="W110" s="85">
        <v>1.2</v>
      </c>
      <c r="X110" s="86">
        <v>2.0108999999999999</v>
      </c>
      <c r="Y110" s="86">
        <v>0.1532</v>
      </c>
      <c r="Z110" s="85">
        <v>0.48</v>
      </c>
      <c r="AA110" s="86">
        <v>0.30759999999999998</v>
      </c>
      <c r="AB110" s="85">
        <v>0.69</v>
      </c>
      <c r="AC110" s="87">
        <v>0.35449999999999998</v>
      </c>
      <c r="AD110" s="86">
        <v>0.28000000000000003</v>
      </c>
      <c r="AE110" s="86">
        <v>0.37880000000000003</v>
      </c>
      <c r="AG110" s="171">
        <v>42948</v>
      </c>
      <c r="AH110" s="177">
        <v>2470</v>
      </c>
      <c r="AI110" s="181">
        <v>2.3E-2</v>
      </c>
      <c r="AJ110" s="177">
        <v>127.46</v>
      </c>
      <c r="AK110" s="85">
        <v>105.68</v>
      </c>
      <c r="AL110" s="85">
        <v>86.97</v>
      </c>
      <c r="AM110" s="181">
        <v>5.4600000000000003E-2</v>
      </c>
      <c r="AN110" s="86">
        <v>4.5400000000000003E-2</v>
      </c>
      <c r="AO110" s="179">
        <v>2017</v>
      </c>
    </row>
    <row r="111" spans="14:41" x14ac:dyDescent="0.3">
      <c r="N111" s="170">
        <v>45077</v>
      </c>
      <c r="O111" s="174">
        <v>72.599999999999994</v>
      </c>
      <c r="P111" s="126">
        <v>2023</v>
      </c>
      <c r="Q111" s="126">
        <v>5</v>
      </c>
      <c r="R111" s="126" t="s">
        <v>139</v>
      </c>
      <c r="T111" s="126">
        <v>2023</v>
      </c>
      <c r="U111" s="126" t="s">
        <v>410</v>
      </c>
      <c r="V111" s="127">
        <v>45</v>
      </c>
      <c r="W111" s="128">
        <v>1.28</v>
      </c>
      <c r="X111" s="129">
        <v>0.2893</v>
      </c>
      <c r="Y111" s="129">
        <v>0.1671</v>
      </c>
      <c r="Z111" s="128">
        <v>1.05</v>
      </c>
      <c r="AA111" s="129">
        <v>4.4400000000000002E-2</v>
      </c>
      <c r="AB111" s="128">
        <v>1.1000000000000001</v>
      </c>
      <c r="AC111" s="130">
        <v>0.42080000000000001</v>
      </c>
      <c r="AD111" s="129">
        <v>0.29189999999999999</v>
      </c>
      <c r="AE111" s="129">
        <v>0.51370000000000005</v>
      </c>
      <c r="AG111" s="170">
        <v>42979</v>
      </c>
      <c r="AH111" s="176">
        <v>2418</v>
      </c>
      <c r="AI111" s="180">
        <v>2.12E-2</v>
      </c>
      <c r="AJ111" s="176">
        <v>127.46</v>
      </c>
      <c r="AK111" s="128">
        <v>105.68</v>
      </c>
      <c r="AL111" s="128">
        <v>86.97</v>
      </c>
      <c r="AM111" s="180">
        <v>5.3699999999999998E-2</v>
      </c>
      <c r="AN111" s="129">
        <v>4.5999999999999999E-2</v>
      </c>
      <c r="AO111" s="178">
        <v>2017</v>
      </c>
    </row>
    <row r="112" spans="14:41" x14ac:dyDescent="0.3">
      <c r="N112" s="171">
        <v>45078</v>
      </c>
      <c r="O112" s="175">
        <v>74.28</v>
      </c>
      <c r="P112" s="83">
        <v>2023</v>
      </c>
      <c r="Q112" s="83">
        <v>6</v>
      </c>
      <c r="R112" s="83" t="s">
        <v>139</v>
      </c>
      <c r="T112" s="83">
        <v>2023</v>
      </c>
      <c r="U112" s="83" t="s">
        <v>411</v>
      </c>
      <c r="V112" s="84">
        <v>164</v>
      </c>
      <c r="W112" s="85">
        <v>1.17</v>
      </c>
      <c r="X112" s="86">
        <v>0.2747</v>
      </c>
      <c r="Y112" s="86">
        <v>9.4299999999999995E-2</v>
      </c>
      <c r="Z112" s="85">
        <v>0.97</v>
      </c>
      <c r="AA112" s="86">
        <v>4.8000000000000001E-2</v>
      </c>
      <c r="AB112" s="85">
        <v>1.02</v>
      </c>
      <c r="AC112" s="87">
        <v>0.53839999999999999</v>
      </c>
      <c r="AD112" s="86">
        <v>0.45779999999999998</v>
      </c>
      <c r="AE112" s="86">
        <v>0.18890000000000001</v>
      </c>
      <c r="AG112" s="171">
        <v>43009</v>
      </c>
      <c r="AH112" s="177">
        <v>2519</v>
      </c>
      <c r="AI112" s="181">
        <v>2.3300000000000001E-2</v>
      </c>
      <c r="AJ112" s="177">
        <v>132.51</v>
      </c>
      <c r="AK112" s="85">
        <v>105.49</v>
      </c>
      <c r="AL112" s="85">
        <v>86.97</v>
      </c>
      <c r="AM112" s="181">
        <v>5.4800000000000001E-2</v>
      </c>
      <c r="AN112" s="86">
        <v>4.6300000000000001E-2</v>
      </c>
      <c r="AO112" s="179">
        <v>2017</v>
      </c>
    </row>
    <row r="113" spans="14:41" x14ac:dyDescent="0.3">
      <c r="N113" s="170">
        <v>45079</v>
      </c>
      <c r="O113" s="174">
        <v>76.13</v>
      </c>
      <c r="P113" s="126">
        <v>2023</v>
      </c>
      <c r="Q113" s="126">
        <v>6</v>
      </c>
      <c r="R113" s="126" t="s">
        <v>139</v>
      </c>
      <c r="T113" s="126">
        <v>2023</v>
      </c>
      <c r="U113" s="126" t="s">
        <v>412</v>
      </c>
      <c r="V113" s="127">
        <v>10</v>
      </c>
      <c r="W113" s="128">
        <v>1.26</v>
      </c>
      <c r="X113" s="129">
        <v>1.0727</v>
      </c>
      <c r="Y113" s="129">
        <v>0.2195</v>
      </c>
      <c r="Z113" s="128">
        <v>0.7</v>
      </c>
      <c r="AA113" s="129">
        <v>1.47E-2</v>
      </c>
      <c r="AB113" s="128">
        <v>0.71</v>
      </c>
      <c r="AC113" s="130">
        <v>0.40679999999999999</v>
      </c>
      <c r="AD113" s="129">
        <v>0.25409999999999999</v>
      </c>
      <c r="AE113" s="129">
        <v>0.2873</v>
      </c>
      <c r="AG113" s="170">
        <v>43040</v>
      </c>
      <c r="AH113" s="176">
        <v>2575</v>
      </c>
      <c r="AI113" s="180">
        <v>2.3699999999999999E-2</v>
      </c>
      <c r="AJ113" s="176">
        <v>132.51</v>
      </c>
      <c r="AK113" s="128">
        <v>105.49</v>
      </c>
      <c r="AL113" s="128">
        <v>86.97</v>
      </c>
      <c r="AM113" s="180">
        <v>5.5E-2</v>
      </c>
      <c r="AN113" s="129">
        <v>4.5199999999999997E-2</v>
      </c>
      <c r="AO113" s="178">
        <v>2017</v>
      </c>
    </row>
    <row r="114" spans="14:41" x14ac:dyDescent="0.3">
      <c r="N114" s="171">
        <v>45082</v>
      </c>
      <c r="O114" s="175">
        <v>76.709999999999994</v>
      </c>
      <c r="P114" s="83">
        <v>2023</v>
      </c>
      <c r="Q114" s="83">
        <v>6</v>
      </c>
      <c r="R114" s="83" t="s">
        <v>139</v>
      </c>
      <c r="T114" s="83">
        <v>2023</v>
      </c>
      <c r="U114" s="83" t="s">
        <v>413</v>
      </c>
      <c r="V114" s="84">
        <v>38</v>
      </c>
      <c r="W114" s="85">
        <v>1.25</v>
      </c>
      <c r="X114" s="86">
        <v>0.48299999999999998</v>
      </c>
      <c r="Y114" s="86">
        <v>9.8299999999999998E-2</v>
      </c>
      <c r="Z114" s="85">
        <v>0.92</v>
      </c>
      <c r="AA114" s="86">
        <v>4.5400000000000003E-2</v>
      </c>
      <c r="AB114" s="85">
        <v>0.96</v>
      </c>
      <c r="AC114" s="87">
        <v>0.52700000000000002</v>
      </c>
      <c r="AD114" s="86">
        <v>0.46579999999999999</v>
      </c>
      <c r="AE114" s="86">
        <v>0.4345</v>
      </c>
      <c r="AG114" s="171">
        <v>43070</v>
      </c>
      <c r="AH114" s="177">
        <v>2648</v>
      </c>
      <c r="AI114" s="181">
        <v>2.4199999999999999E-2</v>
      </c>
      <c r="AJ114" s="177">
        <v>132.51</v>
      </c>
      <c r="AK114" s="85">
        <v>105.49</v>
      </c>
      <c r="AL114" s="85">
        <v>86.97</v>
      </c>
      <c r="AM114" s="181">
        <v>5.5199999999999999E-2</v>
      </c>
      <c r="AN114" s="86">
        <v>4.3799999999999999E-2</v>
      </c>
      <c r="AO114" s="179">
        <v>2017</v>
      </c>
    </row>
    <row r="115" spans="14:41" x14ac:dyDescent="0.3">
      <c r="N115" s="170">
        <v>45083</v>
      </c>
      <c r="O115" s="174">
        <v>76.290000000000006</v>
      </c>
      <c r="P115" s="126">
        <v>2023</v>
      </c>
      <c r="Q115" s="126">
        <v>6</v>
      </c>
      <c r="R115" s="126" t="s">
        <v>139</v>
      </c>
      <c r="T115" s="126">
        <v>2023</v>
      </c>
      <c r="U115" s="126" t="s">
        <v>414</v>
      </c>
      <c r="V115" s="127">
        <v>4</v>
      </c>
      <c r="W115" s="128">
        <v>1.41</v>
      </c>
      <c r="X115" s="129">
        <v>0.58240000000000003</v>
      </c>
      <c r="Y115" s="129">
        <v>0.1202</v>
      </c>
      <c r="Z115" s="128">
        <v>0.98</v>
      </c>
      <c r="AA115" s="129">
        <v>9.8199999999999996E-2</v>
      </c>
      <c r="AB115" s="128">
        <v>1.0900000000000001</v>
      </c>
      <c r="AC115" s="130">
        <v>0.44890000000000002</v>
      </c>
      <c r="AD115" s="129">
        <v>0.39489999999999997</v>
      </c>
      <c r="AE115" s="129">
        <v>0.41460000000000002</v>
      </c>
      <c r="AG115" s="170">
        <v>43101</v>
      </c>
      <c r="AH115" s="176">
        <v>2674</v>
      </c>
      <c r="AI115" s="180">
        <v>2.41E-2</v>
      </c>
      <c r="AJ115" s="176">
        <v>134.09</v>
      </c>
      <c r="AK115" s="128">
        <v>108.28</v>
      </c>
      <c r="AL115" s="128">
        <v>84.88</v>
      </c>
      <c r="AM115" s="180">
        <v>7.0499999999999993E-2</v>
      </c>
      <c r="AN115" s="129">
        <v>4.7500000000000001E-2</v>
      </c>
      <c r="AO115" s="178">
        <v>2018</v>
      </c>
    </row>
    <row r="116" spans="14:41" x14ac:dyDescent="0.3">
      <c r="N116" s="171">
        <v>45084</v>
      </c>
      <c r="O116" s="175">
        <v>76.95</v>
      </c>
      <c r="P116" s="83">
        <v>2023</v>
      </c>
      <c r="Q116" s="83">
        <v>6</v>
      </c>
      <c r="R116" s="83" t="s">
        <v>139</v>
      </c>
      <c r="T116" s="83">
        <v>2023</v>
      </c>
      <c r="U116" s="83" t="s">
        <v>415</v>
      </c>
      <c r="V116" s="84">
        <v>76</v>
      </c>
      <c r="W116" s="85">
        <v>1.28</v>
      </c>
      <c r="X116" s="86">
        <v>0.27400000000000002</v>
      </c>
      <c r="Y116" s="86">
        <v>0.1075</v>
      </c>
      <c r="Z116" s="85">
        <v>1.06</v>
      </c>
      <c r="AA116" s="86">
        <v>0.05</v>
      </c>
      <c r="AB116" s="85">
        <v>1.1200000000000001</v>
      </c>
      <c r="AC116" s="87">
        <v>0.48820000000000002</v>
      </c>
      <c r="AD116" s="86">
        <v>0.42320000000000002</v>
      </c>
      <c r="AE116" s="86">
        <v>0.1159</v>
      </c>
      <c r="AG116" s="171">
        <v>43132</v>
      </c>
      <c r="AH116" s="177">
        <v>2824</v>
      </c>
      <c r="AI116" s="181">
        <v>2.7400000000000001E-2</v>
      </c>
      <c r="AJ116" s="177">
        <v>134.09</v>
      </c>
      <c r="AK116" s="85">
        <v>108.28</v>
      </c>
      <c r="AL116" s="85">
        <v>84.88</v>
      </c>
      <c r="AM116" s="181">
        <v>7.17E-2</v>
      </c>
      <c r="AN116" s="86">
        <v>4.3700000000000003E-2</v>
      </c>
      <c r="AO116" s="179">
        <v>2018</v>
      </c>
    </row>
    <row r="117" spans="14:41" x14ac:dyDescent="0.3">
      <c r="N117" s="170">
        <v>45085</v>
      </c>
      <c r="O117" s="174">
        <v>75.959999999999994</v>
      </c>
      <c r="P117" s="126">
        <v>2023</v>
      </c>
      <c r="Q117" s="126">
        <v>6</v>
      </c>
      <c r="R117" s="126" t="s">
        <v>139</v>
      </c>
      <c r="T117" s="126">
        <v>2023</v>
      </c>
      <c r="U117" s="126" t="s">
        <v>416</v>
      </c>
      <c r="V117" s="127">
        <v>19</v>
      </c>
      <c r="W117" s="128">
        <v>1.45</v>
      </c>
      <c r="X117" s="129">
        <v>0.21709999999999999</v>
      </c>
      <c r="Y117" s="129">
        <v>2.2800000000000001E-2</v>
      </c>
      <c r="Z117" s="128">
        <v>1.25</v>
      </c>
      <c r="AA117" s="129">
        <v>0.126</v>
      </c>
      <c r="AB117" s="128">
        <v>1.43</v>
      </c>
      <c r="AC117" s="130">
        <v>0.55020000000000002</v>
      </c>
      <c r="AD117" s="129">
        <v>0.61960000000000004</v>
      </c>
      <c r="AE117" s="129" t="s">
        <v>496</v>
      </c>
      <c r="AG117" s="170">
        <v>43160</v>
      </c>
      <c r="AH117" s="176">
        <v>2714</v>
      </c>
      <c r="AI117" s="180">
        <v>2.87E-2</v>
      </c>
      <c r="AJ117" s="176">
        <v>134.09</v>
      </c>
      <c r="AK117" s="128">
        <v>108.28</v>
      </c>
      <c r="AL117" s="128">
        <v>84.88</v>
      </c>
      <c r="AM117" s="180">
        <v>7.22E-2</v>
      </c>
      <c r="AN117" s="129">
        <v>4.4900000000000002E-2</v>
      </c>
      <c r="AO117" s="178">
        <v>2018</v>
      </c>
    </row>
    <row r="118" spans="14:41" x14ac:dyDescent="0.3">
      <c r="N118" s="171">
        <v>45086</v>
      </c>
      <c r="O118" s="175">
        <v>74.790000000000006</v>
      </c>
      <c r="P118" s="83">
        <v>2023</v>
      </c>
      <c r="Q118" s="83">
        <v>6</v>
      </c>
      <c r="R118" s="83" t="s">
        <v>139</v>
      </c>
      <c r="T118" s="83">
        <v>2023</v>
      </c>
      <c r="U118" s="83" t="s">
        <v>417</v>
      </c>
      <c r="V118" s="84">
        <v>80</v>
      </c>
      <c r="W118" s="85">
        <v>1.17</v>
      </c>
      <c r="X118" s="86">
        <v>0.3256</v>
      </c>
      <c r="Y118" s="86">
        <v>6.4699999999999994E-2</v>
      </c>
      <c r="Z118" s="85">
        <v>0.94</v>
      </c>
      <c r="AA118" s="86">
        <v>5.21E-2</v>
      </c>
      <c r="AB118" s="85">
        <v>0.99</v>
      </c>
      <c r="AC118" s="87">
        <v>0.60529999999999995</v>
      </c>
      <c r="AD118" s="86">
        <v>0.4778</v>
      </c>
      <c r="AE118" s="86">
        <v>0.26369999999999999</v>
      </c>
      <c r="AG118" s="171">
        <v>43191</v>
      </c>
      <c r="AH118" s="177">
        <v>2641</v>
      </c>
      <c r="AI118" s="181">
        <v>2.7400000000000001E-2</v>
      </c>
      <c r="AJ118" s="177">
        <v>132.62</v>
      </c>
      <c r="AK118" s="85">
        <v>110.03</v>
      </c>
      <c r="AL118" s="85">
        <v>88.8</v>
      </c>
      <c r="AM118" s="181">
        <v>7.17E-2</v>
      </c>
      <c r="AN118" s="86">
        <v>4.9500000000000002E-2</v>
      </c>
      <c r="AO118" s="179">
        <v>2018</v>
      </c>
    </row>
    <row r="119" spans="14:41" x14ac:dyDescent="0.3">
      <c r="N119" s="170">
        <v>45089</v>
      </c>
      <c r="O119" s="174">
        <v>71.819999999999993</v>
      </c>
      <c r="P119" s="126">
        <v>2023</v>
      </c>
      <c r="Q119" s="126">
        <v>6</v>
      </c>
      <c r="R119" s="126" t="s">
        <v>139</v>
      </c>
      <c r="T119" s="126">
        <v>2023</v>
      </c>
      <c r="U119" s="126" t="s">
        <v>418</v>
      </c>
      <c r="V119" s="127">
        <v>42</v>
      </c>
      <c r="W119" s="128">
        <v>1.29</v>
      </c>
      <c r="X119" s="129">
        <v>9.5200000000000007E-2</v>
      </c>
      <c r="Y119" s="129">
        <v>9.1300000000000006E-2</v>
      </c>
      <c r="Z119" s="128">
        <v>1.21</v>
      </c>
      <c r="AA119" s="129">
        <v>1.7899999999999999E-2</v>
      </c>
      <c r="AB119" s="128">
        <v>1.23</v>
      </c>
      <c r="AC119" s="130">
        <v>0.46</v>
      </c>
      <c r="AD119" s="129">
        <v>0.48730000000000001</v>
      </c>
      <c r="AE119" s="129">
        <v>0.25019999999999998</v>
      </c>
      <c r="AG119" s="170">
        <v>43221</v>
      </c>
      <c r="AH119" s="176">
        <v>2648</v>
      </c>
      <c r="AI119" s="180">
        <v>2.9499999999999998E-2</v>
      </c>
      <c r="AJ119" s="176">
        <v>132.62</v>
      </c>
      <c r="AK119" s="128">
        <v>110.03</v>
      </c>
      <c r="AL119" s="128">
        <v>88.8</v>
      </c>
      <c r="AM119" s="180">
        <v>7.2400000000000006E-2</v>
      </c>
      <c r="AN119" s="129">
        <v>4.8500000000000001E-2</v>
      </c>
      <c r="AO119" s="178">
        <v>2018</v>
      </c>
    </row>
    <row r="120" spans="14:41" x14ac:dyDescent="0.3">
      <c r="N120" s="171">
        <v>45090</v>
      </c>
      <c r="O120" s="175">
        <v>74.209999999999994</v>
      </c>
      <c r="P120" s="83">
        <v>2023</v>
      </c>
      <c r="Q120" s="83">
        <v>6</v>
      </c>
      <c r="R120" s="83" t="s">
        <v>139</v>
      </c>
      <c r="T120" s="83">
        <v>2023</v>
      </c>
      <c r="U120" s="83" t="s">
        <v>476</v>
      </c>
      <c r="V120" s="84">
        <v>49</v>
      </c>
      <c r="W120" s="85">
        <v>1.26</v>
      </c>
      <c r="X120" s="86">
        <v>0.30130000000000001</v>
      </c>
      <c r="Y120" s="86">
        <v>0.1052</v>
      </c>
      <c r="Z120" s="85">
        <v>1.03</v>
      </c>
      <c r="AA120" s="86">
        <v>4.1500000000000002E-2</v>
      </c>
      <c r="AB120" s="85">
        <v>1.08</v>
      </c>
      <c r="AC120" s="87">
        <v>0.45729999999999998</v>
      </c>
      <c r="AD120" s="86">
        <v>0.35110000000000002</v>
      </c>
      <c r="AE120" s="86">
        <v>0.19309999999999999</v>
      </c>
      <c r="AG120" s="171">
        <v>43252</v>
      </c>
      <c r="AH120" s="177">
        <v>2705</v>
      </c>
      <c r="AI120" s="181">
        <v>2.87E-2</v>
      </c>
      <c r="AJ120" s="177">
        <v>132.62</v>
      </c>
      <c r="AK120" s="85">
        <v>110.03</v>
      </c>
      <c r="AL120" s="85">
        <v>88.8</v>
      </c>
      <c r="AM120" s="181">
        <v>7.22E-2</v>
      </c>
      <c r="AN120" s="86">
        <v>4.7800000000000002E-2</v>
      </c>
      <c r="AO120" s="179">
        <v>2018</v>
      </c>
    </row>
    <row r="121" spans="14:41" x14ac:dyDescent="0.3">
      <c r="N121" s="170">
        <v>45091</v>
      </c>
      <c r="O121" s="174">
        <v>73.17</v>
      </c>
      <c r="P121" s="126">
        <v>2023</v>
      </c>
      <c r="Q121" s="126">
        <v>6</v>
      </c>
      <c r="R121" s="126" t="s">
        <v>139</v>
      </c>
      <c r="T121" s="126">
        <v>2023</v>
      </c>
      <c r="U121" s="126" t="s">
        <v>419</v>
      </c>
      <c r="V121" s="127">
        <v>23</v>
      </c>
      <c r="W121" s="128">
        <v>1.04</v>
      </c>
      <c r="X121" s="129">
        <v>0.21240000000000001</v>
      </c>
      <c r="Y121" s="129">
        <v>2.98E-2</v>
      </c>
      <c r="Z121" s="128">
        <v>0.9</v>
      </c>
      <c r="AA121" s="129">
        <v>4.6699999999999998E-2</v>
      </c>
      <c r="AB121" s="128">
        <v>0.94</v>
      </c>
      <c r="AC121" s="130">
        <v>0.56430000000000002</v>
      </c>
      <c r="AD121" s="129">
        <v>0.57840000000000003</v>
      </c>
      <c r="AE121" s="129">
        <v>0.48720000000000002</v>
      </c>
      <c r="AG121" s="170">
        <v>43282</v>
      </c>
      <c r="AH121" s="176">
        <v>2718</v>
      </c>
      <c r="AI121" s="180">
        <v>2.8500000000000001E-2</v>
      </c>
      <c r="AJ121" s="176">
        <v>136.51</v>
      </c>
      <c r="AK121" s="128">
        <v>117.55</v>
      </c>
      <c r="AL121" s="128">
        <v>88.8</v>
      </c>
      <c r="AM121" s="180">
        <v>7.2099999999999997E-2</v>
      </c>
      <c r="AN121" s="129">
        <v>4.99E-2</v>
      </c>
      <c r="AO121" s="178">
        <v>2018</v>
      </c>
    </row>
    <row r="122" spans="14:41" x14ac:dyDescent="0.3">
      <c r="N122" s="171">
        <v>45092</v>
      </c>
      <c r="O122" s="175">
        <v>75.66</v>
      </c>
      <c r="P122" s="83">
        <v>2023</v>
      </c>
      <c r="Q122" s="83">
        <v>6</v>
      </c>
      <c r="R122" s="83" t="s">
        <v>139</v>
      </c>
      <c r="T122" s="83">
        <v>2023</v>
      </c>
      <c r="U122" s="83" t="s">
        <v>477</v>
      </c>
      <c r="V122" s="84">
        <v>598</v>
      </c>
      <c r="W122" s="85">
        <v>1.24</v>
      </c>
      <c r="X122" s="86">
        <v>0.1532</v>
      </c>
      <c r="Y122" s="86">
        <v>9.4000000000000004E-3</v>
      </c>
      <c r="Z122" s="85">
        <v>1.1100000000000001</v>
      </c>
      <c r="AA122" s="86">
        <v>7.1400000000000005E-2</v>
      </c>
      <c r="AB122" s="85">
        <v>1.2</v>
      </c>
      <c r="AC122" s="87">
        <v>0.65400000000000003</v>
      </c>
      <c r="AD122" s="86">
        <v>0.58409999999999995</v>
      </c>
      <c r="AE122" s="86">
        <v>0.29809999999999998</v>
      </c>
      <c r="AG122" s="171">
        <v>43313</v>
      </c>
      <c r="AH122" s="177">
        <v>2816</v>
      </c>
      <c r="AI122" s="181">
        <v>2.9600000000000001E-2</v>
      </c>
      <c r="AJ122" s="177">
        <v>136.51</v>
      </c>
      <c r="AK122" s="85">
        <v>117.55</v>
      </c>
      <c r="AL122" s="85">
        <v>88.8</v>
      </c>
      <c r="AM122" s="181">
        <v>7.2499999999999995E-2</v>
      </c>
      <c r="AN122" s="86">
        <v>4.7800000000000002E-2</v>
      </c>
      <c r="AO122" s="179">
        <v>2018</v>
      </c>
    </row>
    <row r="123" spans="14:41" x14ac:dyDescent="0.3">
      <c r="N123" s="170">
        <v>45093</v>
      </c>
      <c r="O123" s="174">
        <v>76.58</v>
      </c>
      <c r="P123" s="126">
        <v>2023</v>
      </c>
      <c r="Q123" s="126">
        <v>6</v>
      </c>
      <c r="R123" s="126" t="s">
        <v>139</v>
      </c>
      <c r="T123" s="126">
        <v>2023</v>
      </c>
      <c r="U123" s="126" t="s">
        <v>478</v>
      </c>
      <c r="V123" s="127">
        <v>281</v>
      </c>
      <c r="W123" s="128">
        <v>1.27</v>
      </c>
      <c r="X123" s="129">
        <v>0.13619999999999999</v>
      </c>
      <c r="Y123" s="129">
        <v>2.3699999999999999E-2</v>
      </c>
      <c r="Z123" s="128">
        <v>1.1499999999999999</v>
      </c>
      <c r="AA123" s="129">
        <v>2.5600000000000001E-2</v>
      </c>
      <c r="AB123" s="128">
        <v>1.18</v>
      </c>
      <c r="AC123" s="130">
        <v>0.69189999999999996</v>
      </c>
      <c r="AD123" s="129">
        <v>0.64880000000000004</v>
      </c>
      <c r="AE123" s="129">
        <v>0.1855</v>
      </c>
      <c r="AG123" s="170">
        <v>43344</v>
      </c>
      <c r="AH123" s="176">
        <v>2902</v>
      </c>
      <c r="AI123" s="180">
        <v>2.86E-2</v>
      </c>
      <c r="AJ123" s="176">
        <v>136.51</v>
      </c>
      <c r="AK123" s="128">
        <v>117.55</v>
      </c>
      <c r="AL123" s="128">
        <v>88.8</v>
      </c>
      <c r="AM123" s="180">
        <v>7.2099999999999997E-2</v>
      </c>
      <c r="AN123" s="129">
        <v>4.6800000000000001E-2</v>
      </c>
      <c r="AO123" s="178">
        <v>2018</v>
      </c>
    </row>
    <row r="124" spans="14:41" x14ac:dyDescent="0.3">
      <c r="N124" s="171">
        <v>45096</v>
      </c>
      <c r="O124" s="175">
        <v>76.06</v>
      </c>
      <c r="P124" s="83">
        <v>2023</v>
      </c>
      <c r="Q124" s="83">
        <v>6</v>
      </c>
      <c r="R124" s="83" t="s">
        <v>139</v>
      </c>
      <c r="T124" s="83">
        <v>2023</v>
      </c>
      <c r="U124" s="83" t="s">
        <v>479</v>
      </c>
      <c r="V124" s="84">
        <v>33</v>
      </c>
      <c r="W124" s="85">
        <v>1.1000000000000001</v>
      </c>
      <c r="X124" s="86">
        <v>0.30609999999999998</v>
      </c>
      <c r="Y124" s="86">
        <v>7.0999999999999994E-2</v>
      </c>
      <c r="Z124" s="85">
        <v>0.9</v>
      </c>
      <c r="AA124" s="86">
        <v>9.9000000000000005E-2</v>
      </c>
      <c r="AB124" s="85">
        <v>0.99</v>
      </c>
      <c r="AC124" s="87">
        <v>0.54830000000000001</v>
      </c>
      <c r="AD124" s="86">
        <v>0.41810000000000003</v>
      </c>
      <c r="AE124" s="86">
        <v>0.17469999999999999</v>
      </c>
      <c r="AG124" s="171">
        <v>43374</v>
      </c>
      <c r="AH124" s="177">
        <v>2914</v>
      </c>
      <c r="AI124" s="181">
        <v>3.0700000000000002E-2</v>
      </c>
      <c r="AJ124" s="177">
        <v>146.33000000000001</v>
      </c>
      <c r="AK124" s="85">
        <v>126.7</v>
      </c>
      <c r="AL124" s="85">
        <v>88.8</v>
      </c>
      <c r="AM124" s="181">
        <v>7.2800000000000004E-2</v>
      </c>
      <c r="AN124" s="86">
        <v>4.99E-2</v>
      </c>
      <c r="AO124" s="179">
        <v>2018</v>
      </c>
    </row>
    <row r="125" spans="14:41" x14ac:dyDescent="0.3">
      <c r="N125" s="170">
        <v>45097</v>
      </c>
      <c r="O125" s="174">
        <v>75.89</v>
      </c>
      <c r="P125" s="126">
        <v>2023</v>
      </c>
      <c r="Q125" s="126">
        <v>6</v>
      </c>
      <c r="R125" s="126" t="s">
        <v>139</v>
      </c>
      <c r="T125" s="126">
        <v>2023</v>
      </c>
      <c r="U125" s="126" t="s">
        <v>420</v>
      </c>
      <c r="V125" s="127">
        <v>110</v>
      </c>
      <c r="W125" s="128">
        <v>1.59</v>
      </c>
      <c r="X125" s="129">
        <v>0.22520000000000001</v>
      </c>
      <c r="Y125" s="129">
        <v>4.4699999999999997E-2</v>
      </c>
      <c r="Z125" s="128">
        <v>1.36</v>
      </c>
      <c r="AA125" s="129">
        <v>5.0700000000000002E-2</v>
      </c>
      <c r="AB125" s="128">
        <v>1.43</v>
      </c>
      <c r="AC125" s="130">
        <v>0.59440000000000004</v>
      </c>
      <c r="AD125" s="129">
        <v>0.58550000000000002</v>
      </c>
      <c r="AE125" s="129">
        <v>0.13950000000000001</v>
      </c>
      <c r="AG125" s="170">
        <v>43405</v>
      </c>
      <c r="AH125" s="176">
        <v>2712</v>
      </c>
      <c r="AI125" s="180">
        <v>3.1600000000000003E-2</v>
      </c>
      <c r="AJ125" s="176">
        <v>146.33000000000001</v>
      </c>
      <c r="AK125" s="128">
        <v>126.7</v>
      </c>
      <c r="AL125" s="128">
        <v>88.8</v>
      </c>
      <c r="AM125" s="180">
        <v>7.3200000000000001E-2</v>
      </c>
      <c r="AN125" s="129">
        <v>5.3199999999999997E-2</v>
      </c>
      <c r="AO125" s="178">
        <v>2018</v>
      </c>
    </row>
    <row r="126" spans="14:41" x14ac:dyDescent="0.3">
      <c r="N126" s="171">
        <v>45098</v>
      </c>
      <c r="O126" s="175">
        <v>77.14</v>
      </c>
      <c r="P126" s="83">
        <v>2023</v>
      </c>
      <c r="Q126" s="83">
        <v>6</v>
      </c>
      <c r="R126" s="83" t="s">
        <v>139</v>
      </c>
      <c r="T126" s="83">
        <v>2023</v>
      </c>
      <c r="U126" s="83" t="s">
        <v>421</v>
      </c>
      <c r="V126" s="84">
        <v>16</v>
      </c>
      <c r="W126" s="85">
        <v>1.54</v>
      </c>
      <c r="X126" s="86">
        <v>0.16450000000000001</v>
      </c>
      <c r="Y126" s="86">
        <v>3.9800000000000002E-2</v>
      </c>
      <c r="Z126" s="85">
        <v>1.37</v>
      </c>
      <c r="AA126" s="86">
        <v>0.15079999999999999</v>
      </c>
      <c r="AB126" s="85">
        <v>1.61</v>
      </c>
      <c r="AC126" s="87">
        <v>0.59619999999999995</v>
      </c>
      <c r="AD126" s="86">
        <v>0.39560000000000001</v>
      </c>
      <c r="AE126" s="86">
        <v>3.2816999999999998</v>
      </c>
      <c r="AG126" s="171">
        <v>43435</v>
      </c>
      <c r="AH126" s="177">
        <v>2760</v>
      </c>
      <c r="AI126" s="181">
        <v>2.9899999999999999E-2</v>
      </c>
      <c r="AJ126" s="177">
        <v>146.33000000000001</v>
      </c>
      <c r="AK126" s="85">
        <v>126.7</v>
      </c>
      <c r="AL126" s="85">
        <v>88.8</v>
      </c>
      <c r="AM126" s="181">
        <v>7.2599999999999998E-2</v>
      </c>
      <c r="AN126" s="86">
        <v>5.2900000000000003E-2</v>
      </c>
      <c r="AO126" s="179">
        <v>2018</v>
      </c>
    </row>
    <row r="127" spans="14:41" x14ac:dyDescent="0.3">
      <c r="N127" s="170">
        <v>45099</v>
      </c>
      <c r="O127" s="174">
        <v>74.349999999999994</v>
      </c>
      <c r="P127" s="126">
        <v>2023</v>
      </c>
      <c r="Q127" s="126">
        <v>6</v>
      </c>
      <c r="R127" s="126" t="s">
        <v>139</v>
      </c>
      <c r="T127" s="126">
        <v>2023</v>
      </c>
      <c r="U127" s="126" t="s">
        <v>480</v>
      </c>
      <c r="V127" s="127">
        <v>138</v>
      </c>
      <c r="W127" s="128">
        <v>1.2</v>
      </c>
      <c r="X127" s="129">
        <v>0.18820000000000001</v>
      </c>
      <c r="Y127" s="129">
        <v>6.2899999999999998E-2</v>
      </c>
      <c r="Z127" s="128">
        <v>1.05</v>
      </c>
      <c r="AA127" s="129">
        <v>5.6899999999999999E-2</v>
      </c>
      <c r="AB127" s="128">
        <v>1.1200000000000001</v>
      </c>
      <c r="AC127" s="130">
        <v>0.50309999999999999</v>
      </c>
      <c r="AD127" s="129">
        <v>0.44940000000000002</v>
      </c>
      <c r="AE127" s="129">
        <v>0.25369999999999998</v>
      </c>
      <c r="AG127" s="170">
        <v>43466</v>
      </c>
      <c r="AH127" s="176">
        <v>2507</v>
      </c>
      <c r="AI127" s="180">
        <v>2.6800000000000001E-2</v>
      </c>
      <c r="AJ127" s="176">
        <v>120.81</v>
      </c>
      <c r="AK127" s="128">
        <v>136.65</v>
      </c>
      <c r="AL127" s="128">
        <v>93.7</v>
      </c>
      <c r="AM127" s="180">
        <v>4.1200000000000001E-2</v>
      </c>
      <c r="AN127" s="129">
        <v>5.5500000000000001E-2</v>
      </c>
      <c r="AO127" s="178">
        <v>2019</v>
      </c>
    </row>
    <row r="128" spans="14:41" x14ac:dyDescent="0.3">
      <c r="N128" s="171">
        <v>45100</v>
      </c>
      <c r="O128" s="175">
        <v>74.010000000000005</v>
      </c>
      <c r="P128" s="83">
        <v>2023</v>
      </c>
      <c r="Q128" s="83">
        <v>6</v>
      </c>
      <c r="R128" s="83" t="s">
        <v>139</v>
      </c>
      <c r="T128" s="83">
        <v>2023</v>
      </c>
      <c r="U128" s="83" t="s">
        <v>481</v>
      </c>
      <c r="V128" s="84">
        <v>43</v>
      </c>
      <c r="W128" s="85">
        <v>1.2</v>
      </c>
      <c r="X128" s="86">
        <v>0.31590000000000001</v>
      </c>
      <c r="Y128" s="86">
        <v>0.13300000000000001</v>
      </c>
      <c r="Z128" s="85">
        <v>0.97</v>
      </c>
      <c r="AA128" s="86">
        <v>4.9200000000000001E-2</v>
      </c>
      <c r="AB128" s="85">
        <v>1.02</v>
      </c>
      <c r="AC128" s="87">
        <v>0.4219</v>
      </c>
      <c r="AD128" s="86">
        <v>0.35170000000000001</v>
      </c>
      <c r="AE128" s="86">
        <v>0.152</v>
      </c>
      <c r="AG128" s="171">
        <v>43497</v>
      </c>
      <c r="AH128" s="177">
        <v>2704</v>
      </c>
      <c r="AI128" s="181">
        <v>2.63E-2</v>
      </c>
      <c r="AJ128" s="177">
        <v>120.81</v>
      </c>
      <c r="AK128" s="85">
        <v>136.65</v>
      </c>
      <c r="AL128" s="85">
        <v>93.7</v>
      </c>
      <c r="AM128" s="181">
        <v>4.1099999999999998E-2</v>
      </c>
      <c r="AN128" s="86">
        <v>5.16E-2</v>
      </c>
      <c r="AO128" s="179">
        <v>2019</v>
      </c>
    </row>
    <row r="129" spans="14:41" x14ac:dyDescent="0.3">
      <c r="N129" s="170">
        <v>45103</v>
      </c>
      <c r="O129" s="174">
        <v>74.349999999999994</v>
      </c>
      <c r="P129" s="126">
        <v>2023</v>
      </c>
      <c r="Q129" s="126">
        <v>6</v>
      </c>
      <c r="R129" s="126" t="s">
        <v>139</v>
      </c>
      <c r="T129" s="126">
        <v>2023</v>
      </c>
      <c r="U129" s="126" t="s">
        <v>422</v>
      </c>
      <c r="V129" s="127">
        <v>110</v>
      </c>
      <c r="W129" s="128">
        <v>1.45</v>
      </c>
      <c r="X129" s="129">
        <v>0.33279999999999998</v>
      </c>
      <c r="Y129" s="129">
        <v>3.4500000000000003E-2</v>
      </c>
      <c r="Z129" s="128">
        <v>1.1599999999999999</v>
      </c>
      <c r="AA129" s="129">
        <v>6.9000000000000006E-2</v>
      </c>
      <c r="AB129" s="128">
        <v>1.25</v>
      </c>
      <c r="AC129" s="130">
        <v>0.68830000000000002</v>
      </c>
      <c r="AD129" s="129">
        <v>0.57809999999999995</v>
      </c>
      <c r="AE129" s="129">
        <v>0.25729999999999997</v>
      </c>
      <c r="AG129" s="170">
        <v>43525</v>
      </c>
      <c r="AH129" s="176">
        <v>2785</v>
      </c>
      <c r="AI129" s="180">
        <v>2.7199999999999998E-2</v>
      </c>
      <c r="AJ129" s="176">
        <v>120.81</v>
      </c>
      <c r="AK129" s="128">
        <v>136.65</v>
      </c>
      <c r="AL129" s="128">
        <v>93.7</v>
      </c>
      <c r="AM129" s="180">
        <v>4.1399999999999999E-2</v>
      </c>
      <c r="AN129" s="129">
        <v>4.9799999999999997E-2</v>
      </c>
      <c r="AO129" s="178">
        <v>2019</v>
      </c>
    </row>
    <row r="130" spans="14:41" x14ac:dyDescent="0.3">
      <c r="N130" s="171">
        <v>45104</v>
      </c>
      <c r="O130" s="175">
        <v>72.510000000000005</v>
      </c>
      <c r="P130" s="83">
        <v>2023</v>
      </c>
      <c r="Q130" s="83">
        <v>6</v>
      </c>
      <c r="R130" s="83" t="s">
        <v>139</v>
      </c>
      <c r="T130" s="83">
        <v>2023</v>
      </c>
      <c r="U130" s="83" t="s">
        <v>423</v>
      </c>
      <c r="V130" s="84">
        <v>62</v>
      </c>
      <c r="W130" s="85">
        <v>1.02</v>
      </c>
      <c r="X130" s="86">
        <v>0.25540000000000002</v>
      </c>
      <c r="Y130" s="86">
        <v>5.4199999999999998E-2</v>
      </c>
      <c r="Z130" s="85">
        <v>0.85</v>
      </c>
      <c r="AA130" s="86">
        <v>8.0999999999999996E-3</v>
      </c>
      <c r="AB130" s="85">
        <v>0.86</v>
      </c>
      <c r="AC130" s="87">
        <v>0.61570000000000003</v>
      </c>
      <c r="AD130" s="86">
        <v>0.48089999999999999</v>
      </c>
      <c r="AE130" s="86">
        <v>0.1331</v>
      </c>
      <c r="AG130" s="171">
        <v>43556</v>
      </c>
      <c r="AH130" s="177">
        <v>2834</v>
      </c>
      <c r="AI130" s="181">
        <v>2.4E-2</v>
      </c>
      <c r="AJ130" s="177">
        <v>138.09</v>
      </c>
      <c r="AK130" s="85">
        <v>150.5</v>
      </c>
      <c r="AL130" s="85">
        <v>97.45</v>
      </c>
      <c r="AM130" s="181">
        <v>4.07E-2</v>
      </c>
      <c r="AN130" s="86">
        <v>5.0799999999999998E-2</v>
      </c>
      <c r="AO130" s="179">
        <v>2019</v>
      </c>
    </row>
    <row r="131" spans="14:41" x14ac:dyDescent="0.3">
      <c r="N131" s="170">
        <v>45105</v>
      </c>
      <c r="O131" s="174">
        <v>74.239999999999995</v>
      </c>
      <c r="P131" s="126">
        <v>2023</v>
      </c>
      <c r="Q131" s="126">
        <v>6</v>
      </c>
      <c r="R131" s="126" t="s">
        <v>139</v>
      </c>
      <c r="T131" s="126">
        <v>2023</v>
      </c>
      <c r="U131" s="126" t="s">
        <v>424</v>
      </c>
      <c r="V131" s="127">
        <v>39</v>
      </c>
      <c r="W131" s="128">
        <v>1.1399999999999999</v>
      </c>
      <c r="X131" s="129">
        <v>0.3387</v>
      </c>
      <c r="Y131" s="129">
        <v>6.6400000000000001E-2</v>
      </c>
      <c r="Z131" s="128">
        <v>0.91</v>
      </c>
      <c r="AA131" s="129">
        <v>2.3300000000000001E-2</v>
      </c>
      <c r="AB131" s="128">
        <v>0.93</v>
      </c>
      <c r="AC131" s="130">
        <v>0.58899999999999997</v>
      </c>
      <c r="AD131" s="129">
        <v>0.54430000000000001</v>
      </c>
      <c r="AE131" s="129">
        <v>0.26090000000000002</v>
      </c>
      <c r="AG131" s="170">
        <v>43586</v>
      </c>
      <c r="AH131" s="176">
        <v>2945</v>
      </c>
      <c r="AI131" s="180">
        <v>2.5100000000000001E-2</v>
      </c>
      <c r="AJ131" s="176">
        <v>138.09</v>
      </c>
      <c r="AK131" s="128">
        <v>150.5</v>
      </c>
      <c r="AL131" s="128">
        <v>97.45</v>
      </c>
      <c r="AM131" s="180">
        <v>4.1099999999999998E-2</v>
      </c>
      <c r="AN131" s="129">
        <v>4.99E-2</v>
      </c>
      <c r="AO131" s="178">
        <v>2019</v>
      </c>
    </row>
    <row r="132" spans="14:41" x14ac:dyDescent="0.3">
      <c r="N132" s="171">
        <v>45106</v>
      </c>
      <c r="O132" s="175">
        <v>74.510000000000005</v>
      </c>
      <c r="P132" s="83">
        <v>2023</v>
      </c>
      <c r="Q132" s="83">
        <v>6</v>
      </c>
      <c r="R132" s="83" t="s">
        <v>139</v>
      </c>
      <c r="T132" s="83">
        <v>2023</v>
      </c>
      <c r="U132" s="83" t="s">
        <v>497</v>
      </c>
      <c r="V132" s="84">
        <v>223</v>
      </c>
      <c r="W132" s="85">
        <v>0.89</v>
      </c>
      <c r="X132" s="86">
        <v>10.044</v>
      </c>
      <c r="Y132" s="86">
        <v>0.14610000000000001</v>
      </c>
      <c r="Z132" s="85">
        <v>0.1</v>
      </c>
      <c r="AA132" s="86">
        <v>2.24E-2</v>
      </c>
      <c r="AB132" s="85">
        <v>0.11</v>
      </c>
      <c r="AC132" s="87">
        <v>0.33779999999999999</v>
      </c>
      <c r="AD132" s="86">
        <v>0.27150000000000002</v>
      </c>
      <c r="AE132" s="86">
        <v>0.61670000000000003</v>
      </c>
      <c r="AG132" s="171">
        <v>43617</v>
      </c>
      <c r="AH132" s="177">
        <v>2752</v>
      </c>
      <c r="AI132" s="181">
        <v>2.1399999999999999E-2</v>
      </c>
      <c r="AJ132" s="177">
        <v>138.09</v>
      </c>
      <c r="AK132" s="85">
        <v>150.5</v>
      </c>
      <c r="AL132" s="85">
        <v>97.45</v>
      </c>
      <c r="AM132" s="181">
        <v>3.6200000000000003E-2</v>
      </c>
      <c r="AN132" s="86">
        <v>5.3800000000000001E-2</v>
      </c>
      <c r="AO132" s="179">
        <v>2019</v>
      </c>
    </row>
    <row r="133" spans="14:41" x14ac:dyDescent="0.3">
      <c r="N133" s="170">
        <v>45107</v>
      </c>
      <c r="O133" s="174">
        <v>75.41</v>
      </c>
      <c r="P133" s="126">
        <v>2023</v>
      </c>
      <c r="Q133" s="126">
        <v>6</v>
      </c>
      <c r="R133" s="126" t="s">
        <v>139</v>
      </c>
      <c r="T133" s="126">
        <v>2023</v>
      </c>
      <c r="U133" s="126" t="s">
        <v>426</v>
      </c>
      <c r="V133" s="127">
        <v>92</v>
      </c>
      <c r="W133" s="128">
        <v>0.92</v>
      </c>
      <c r="X133" s="129">
        <v>0.28860000000000002</v>
      </c>
      <c r="Y133" s="129">
        <v>7.7399999999999997E-2</v>
      </c>
      <c r="Z133" s="128">
        <v>0.75</v>
      </c>
      <c r="AA133" s="129">
        <v>1.8700000000000001E-2</v>
      </c>
      <c r="AB133" s="128">
        <v>0.77</v>
      </c>
      <c r="AC133" s="130">
        <v>0.48659999999999998</v>
      </c>
      <c r="AD133" s="129">
        <v>0.34229999999999999</v>
      </c>
      <c r="AE133" s="129">
        <v>0.16969999999999999</v>
      </c>
      <c r="AG133" s="170">
        <v>43647</v>
      </c>
      <c r="AH133" s="176">
        <v>2942</v>
      </c>
      <c r="AI133" s="180">
        <v>0.02</v>
      </c>
      <c r="AJ133" s="176">
        <v>143.32</v>
      </c>
      <c r="AK133" s="128">
        <v>153.47</v>
      </c>
      <c r="AL133" s="128">
        <v>98</v>
      </c>
      <c r="AM133" s="180">
        <v>3.44E-2</v>
      </c>
      <c r="AN133" s="129">
        <v>5.11E-2</v>
      </c>
      <c r="AO133" s="178">
        <v>2019</v>
      </c>
    </row>
    <row r="134" spans="14:41" x14ac:dyDescent="0.3">
      <c r="N134" s="171">
        <v>45110</v>
      </c>
      <c r="O134" s="175">
        <v>74.650000000000006</v>
      </c>
      <c r="P134" s="83">
        <v>2023</v>
      </c>
      <c r="Q134" s="83">
        <v>7</v>
      </c>
      <c r="R134" s="83" t="s">
        <v>270</v>
      </c>
      <c r="T134" s="83">
        <v>2023</v>
      </c>
      <c r="U134" s="83" t="s">
        <v>427</v>
      </c>
      <c r="V134" s="84">
        <v>14</v>
      </c>
      <c r="W134" s="85">
        <v>1.1200000000000001</v>
      </c>
      <c r="X134" s="86">
        <v>0.46160000000000001</v>
      </c>
      <c r="Y134" s="86">
        <v>0.11940000000000001</v>
      </c>
      <c r="Z134" s="85">
        <v>0.83</v>
      </c>
      <c r="AA134" s="86">
        <v>1.2999999999999999E-2</v>
      </c>
      <c r="AB134" s="85">
        <v>0.85</v>
      </c>
      <c r="AC134" s="87">
        <v>0.4793</v>
      </c>
      <c r="AD134" s="86">
        <v>0.32419999999999999</v>
      </c>
      <c r="AE134" s="86">
        <v>0.25629999999999997</v>
      </c>
      <c r="AG134" s="171">
        <v>43678</v>
      </c>
      <c r="AH134" s="177">
        <v>2980</v>
      </c>
      <c r="AI134" s="181">
        <v>2.0199999999999999E-2</v>
      </c>
      <c r="AJ134" s="177">
        <v>143.32</v>
      </c>
      <c r="AK134" s="85">
        <v>153.47</v>
      </c>
      <c r="AL134" s="85">
        <v>98</v>
      </c>
      <c r="AM134" s="181">
        <v>3.4500000000000003E-2</v>
      </c>
      <c r="AN134" s="86">
        <v>5.04E-2</v>
      </c>
      <c r="AO134" s="179">
        <v>2019</v>
      </c>
    </row>
    <row r="135" spans="14:41" x14ac:dyDescent="0.3">
      <c r="N135" s="170">
        <v>45111</v>
      </c>
      <c r="O135" s="174">
        <v>76.25</v>
      </c>
      <c r="P135" s="126">
        <v>2023</v>
      </c>
      <c r="Q135" s="126">
        <v>7</v>
      </c>
      <c r="R135" s="126" t="s">
        <v>270</v>
      </c>
      <c r="T135" s="126">
        <v>2023</v>
      </c>
      <c r="U135" s="126" t="s">
        <v>428</v>
      </c>
      <c r="V135" s="127">
        <v>32</v>
      </c>
      <c r="W135" s="128">
        <v>1.27</v>
      </c>
      <c r="X135" s="129">
        <v>0.55940000000000001</v>
      </c>
      <c r="Y135" s="129">
        <v>0.12670000000000001</v>
      </c>
      <c r="Z135" s="128">
        <v>0.9</v>
      </c>
      <c r="AA135" s="129">
        <v>5.9499999999999997E-2</v>
      </c>
      <c r="AB135" s="128">
        <v>0.95</v>
      </c>
      <c r="AC135" s="130">
        <v>0.5484</v>
      </c>
      <c r="AD135" s="129">
        <v>0.41909999999999997</v>
      </c>
      <c r="AE135" s="129">
        <v>0.24909999999999999</v>
      </c>
      <c r="AG135" s="170">
        <v>43709</v>
      </c>
      <c r="AH135" s="176">
        <v>2926</v>
      </c>
      <c r="AI135" s="180">
        <v>1.4999999999999999E-2</v>
      </c>
      <c r="AJ135" s="176">
        <v>143.32</v>
      </c>
      <c r="AK135" s="128">
        <v>153.47</v>
      </c>
      <c r="AL135" s="128">
        <v>98</v>
      </c>
      <c r="AM135" s="180">
        <v>3.2399999999999998E-2</v>
      </c>
      <c r="AN135" s="129">
        <v>5.3199999999999997E-2</v>
      </c>
      <c r="AO135" s="178">
        <v>2019</v>
      </c>
    </row>
    <row r="136" spans="14:41" x14ac:dyDescent="0.3">
      <c r="N136" s="171">
        <v>45112</v>
      </c>
      <c r="O136" s="175">
        <v>76.650000000000006</v>
      </c>
      <c r="P136" s="83">
        <v>2023</v>
      </c>
      <c r="Q136" s="83">
        <v>7</v>
      </c>
      <c r="R136" s="83" t="s">
        <v>270</v>
      </c>
      <c r="T136" s="83">
        <v>2023</v>
      </c>
      <c r="U136" s="83" t="s">
        <v>482</v>
      </c>
      <c r="V136" s="84">
        <v>19</v>
      </c>
      <c r="W136" s="85">
        <v>1.6</v>
      </c>
      <c r="X136" s="86">
        <v>1.2112000000000001</v>
      </c>
      <c r="Y136" s="86">
        <v>6.7299999999999999E-2</v>
      </c>
      <c r="Z136" s="85">
        <v>0.84</v>
      </c>
      <c r="AA136" s="86">
        <v>4.3799999999999999E-2</v>
      </c>
      <c r="AB136" s="85">
        <v>0.88</v>
      </c>
      <c r="AC136" s="87">
        <v>0.67710000000000004</v>
      </c>
      <c r="AD136" s="86">
        <v>0.67600000000000005</v>
      </c>
      <c r="AE136" s="86">
        <v>0.62819999999999998</v>
      </c>
      <c r="AG136" s="171">
        <v>43739</v>
      </c>
      <c r="AH136" s="177">
        <v>2977</v>
      </c>
      <c r="AI136" s="181">
        <v>1.67E-2</v>
      </c>
      <c r="AJ136" s="177">
        <v>145.02000000000001</v>
      </c>
      <c r="AK136" s="85">
        <v>151.19999999999999</v>
      </c>
      <c r="AL136" s="85">
        <v>98.07</v>
      </c>
      <c r="AM136" s="181">
        <v>3.3099999999999997E-2</v>
      </c>
      <c r="AN136" s="86">
        <v>5.1999999999999998E-2</v>
      </c>
      <c r="AO136" s="179">
        <v>2019</v>
      </c>
    </row>
    <row r="137" spans="14:41" x14ac:dyDescent="0.3">
      <c r="N137" s="170">
        <v>45113</v>
      </c>
      <c r="O137" s="174">
        <v>76.52</v>
      </c>
      <c r="P137" s="126">
        <v>2023</v>
      </c>
      <c r="Q137" s="126">
        <v>7</v>
      </c>
      <c r="R137" s="126" t="s">
        <v>270</v>
      </c>
      <c r="T137" s="126">
        <v>2023</v>
      </c>
      <c r="U137" s="126" t="s">
        <v>429</v>
      </c>
      <c r="V137" s="127">
        <v>254</v>
      </c>
      <c r="W137" s="128">
        <v>1.1599999999999999</v>
      </c>
      <c r="X137" s="129">
        <v>0.126</v>
      </c>
      <c r="Y137" s="129">
        <v>3.6999999999999998E-2</v>
      </c>
      <c r="Z137" s="128">
        <v>1.06</v>
      </c>
      <c r="AA137" s="129">
        <v>3.2000000000000001E-2</v>
      </c>
      <c r="AB137" s="128">
        <v>1.1000000000000001</v>
      </c>
      <c r="AC137" s="130">
        <v>0.59389999999999998</v>
      </c>
      <c r="AD137" s="129">
        <v>0.50939999999999996</v>
      </c>
      <c r="AE137" s="129">
        <v>0.30099999999999999</v>
      </c>
      <c r="AG137" s="170">
        <v>43770</v>
      </c>
      <c r="AH137" s="176">
        <v>3038</v>
      </c>
      <c r="AI137" s="180">
        <v>1.6799999999999999E-2</v>
      </c>
      <c r="AJ137" s="176">
        <v>145.02000000000001</v>
      </c>
      <c r="AK137" s="128">
        <v>151.19999999999999</v>
      </c>
      <c r="AL137" s="128">
        <v>98.07</v>
      </c>
      <c r="AM137" s="180">
        <v>3.3099999999999997E-2</v>
      </c>
      <c r="AN137" s="129">
        <v>5.0900000000000001E-2</v>
      </c>
      <c r="AO137" s="178">
        <v>2019</v>
      </c>
    </row>
    <row r="138" spans="14:41" x14ac:dyDescent="0.3">
      <c r="N138" s="171">
        <v>45114</v>
      </c>
      <c r="O138" s="175">
        <v>78.47</v>
      </c>
      <c r="P138" s="83">
        <v>2023</v>
      </c>
      <c r="Q138" s="83">
        <v>7</v>
      </c>
      <c r="R138" s="83" t="s">
        <v>270</v>
      </c>
      <c r="T138" s="83">
        <v>2023</v>
      </c>
      <c r="U138" s="83" t="s">
        <v>483</v>
      </c>
      <c r="V138" s="84">
        <v>131</v>
      </c>
      <c r="W138" s="85">
        <v>1.1599999999999999</v>
      </c>
      <c r="X138" s="86">
        <v>0.2361</v>
      </c>
      <c r="Y138" s="86">
        <v>6.7400000000000002E-2</v>
      </c>
      <c r="Z138" s="85">
        <v>0.99</v>
      </c>
      <c r="AA138" s="86">
        <v>8.0799999999999997E-2</v>
      </c>
      <c r="AB138" s="85">
        <v>1.07</v>
      </c>
      <c r="AC138" s="87">
        <v>0.56359999999999999</v>
      </c>
      <c r="AD138" s="86">
        <v>0.47789999999999999</v>
      </c>
      <c r="AE138" s="86">
        <v>0.27589999999999998</v>
      </c>
      <c r="AG138" s="171">
        <v>43800</v>
      </c>
      <c r="AH138" s="177">
        <v>3141</v>
      </c>
      <c r="AI138" s="181">
        <v>1.78E-2</v>
      </c>
      <c r="AJ138" s="177">
        <v>145.02000000000001</v>
      </c>
      <c r="AK138" s="85">
        <v>151.19999999999999</v>
      </c>
      <c r="AL138" s="85">
        <v>98.07</v>
      </c>
      <c r="AM138" s="181">
        <v>3.3500000000000002E-2</v>
      </c>
      <c r="AN138" s="86">
        <v>4.8899999999999999E-2</v>
      </c>
      <c r="AO138" s="179">
        <v>2019</v>
      </c>
    </row>
    <row r="139" spans="14:41" x14ac:dyDescent="0.3">
      <c r="N139" s="170">
        <v>45117</v>
      </c>
      <c r="O139" s="174">
        <v>77.69</v>
      </c>
      <c r="P139" s="126">
        <v>2023</v>
      </c>
      <c r="Q139" s="126">
        <v>7</v>
      </c>
      <c r="R139" s="126" t="s">
        <v>270</v>
      </c>
      <c r="T139" s="126">
        <v>2023</v>
      </c>
      <c r="U139" s="126" t="s">
        <v>498</v>
      </c>
      <c r="V139" s="127">
        <v>138</v>
      </c>
      <c r="W139" s="128">
        <v>1.47</v>
      </c>
      <c r="X139" s="129">
        <v>0.1421</v>
      </c>
      <c r="Y139" s="129">
        <v>4.2999999999999997E-2</v>
      </c>
      <c r="Z139" s="128">
        <v>1.33</v>
      </c>
      <c r="AA139" s="129">
        <v>2.9899999999999999E-2</v>
      </c>
      <c r="AB139" s="128">
        <v>1.37</v>
      </c>
      <c r="AC139" s="130">
        <v>0.61729999999999996</v>
      </c>
      <c r="AD139" s="129">
        <v>0.53869999999999996</v>
      </c>
      <c r="AE139" s="129">
        <v>0.48970000000000002</v>
      </c>
      <c r="AG139" s="170">
        <v>43831</v>
      </c>
      <c r="AH139" s="176">
        <v>3231</v>
      </c>
      <c r="AI139" s="180">
        <v>1.9199999999999998E-2</v>
      </c>
      <c r="AJ139" s="176">
        <v>157.4</v>
      </c>
      <c r="AK139" s="128">
        <v>150.5</v>
      </c>
      <c r="AL139" s="128">
        <v>98.01</v>
      </c>
      <c r="AM139" s="180">
        <v>3.9600000000000003E-2</v>
      </c>
      <c r="AN139" s="129">
        <v>5.0599999999999999E-2</v>
      </c>
      <c r="AO139" s="178">
        <v>2020</v>
      </c>
    </row>
    <row r="140" spans="14:41" x14ac:dyDescent="0.3">
      <c r="N140" s="171">
        <v>45118</v>
      </c>
      <c r="O140" s="175">
        <v>79.400000000000006</v>
      </c>
      <c r="P140" s="83">
        <v>2023</v>
      </c>
      <c r="Q140" s="83">
        <v>7</v>
      </c>
      <c r="R140" s="83" t="s">
        <v>270</v>
      </c>
      <c r="T140" s="83">
        <v>2023</v>
      </c>
      <c r="U140" s="83" t="s">
        <v>430</v>
      </c>
      <c r="V140" s="84">
        <v>32</v>
      </c>
      <c r="W140" s="85">
        <v>1.5</v>
      </c>
      <c r="X140" s="86">
        <v>0.32340000000000002</v>
      </c>
      <c r="Y140" s="86">
        <v>0.17810000000000001</v>
      </c>
      <c r="Z140" s="85">
        <v>1.21</v>
      </c>
      <c r="AA140" s="86">
        <v>9.3100000000000002E-2</v>
      </c>
      <c r="AB140" s="85">
        <v>1.33</v>
      </c>
      <c r="AC140" s="87">
        <v>0.41270000000000001</v>
      </c>
      <c r="AD140" s="86">
        <v>0.33329999999999999</v>
      </c>
      <c r="AE140" s="86">
        <v>0.70579999999999998</v>
      </c>
      <c r="AG140" s="171">
        <v>43862</v>
      </c>
      <c r="AH140" s="177">
        <v>3226</v>
      </c>
      <c r="AI140" s="181">
        <v>1.5100000000000001E-2</v>
      </c>
      <c r="AJ140" s="177">
        <v>157.4</v>
      </c>
      <c r="AK140" s="85">
        <v>150.5</v>
      </c>
      <c r="AL140" s="85">
        <v>98.01</v>
      </c>
      <c r="AM140" s="181">
        <v>3.7900000000000003E-2</v>
      </c>
      <c r="AN140" s="86">
        <v>5.2200000000000003E-2</v>
      </c>
      <c r="AO140" s="179">
        <v>2020</v>
      </c>
    </row>
    <row r="141" spans="14:41" x14ac:dyDescent="0.3">
      <c r="N141" s="170">
        <v>45119</v>
      </c>
      <c r="O141" s="174">
        <v>80.11</v>
      </c>
      <c r="P141" s="126">
        <v>2023</v>
      </c>
      <c r="Q141" s="126">
        <v>7</v>
      </c>
      <c r="R141" s="126" t="s">
        <v>270</v>
      </c>
      <c r="T141" s="126">
        <v>2023</v>
      </c>
      <c r="U141" s="126" t="s">
        <v>484</v>
      </c>
      <c r="V141" s="127">
        <v>34</v>
      </c>
      <c r="W141" s="128">
        <v>1.17</v>
      </c>
      <c r="X141" s="129">
        <v>0.87239999999999995</v>
      </c>
      <c r="Y141" s="129">
        <v>9.5600000000000004E-2</v>
      </c>
      <c r="Z141" s="128">
        <v>0.71</v>
      </c>
      <c r="AA141" s="129">
        <v>1.8499999999999999E-2</v>
      </c>
      <c r="AB141" s="128">
        <v>0.72</v>
      </c>
      <c r="AC141" s="130">
        <v>0.6028</v>
      </c>
      <c r="AD141" s="129">
        <v>0.51190000000000002</v>
      </c>
      <c r="AE141" s="129">
        <v>0.18609999999999999</v>
      </c>
      <c r="AG141" s="170">
        <v>43891</v>
      </c>
      <c r="AH141" s="176">
        <v>2954</v>
      </c>
      <c r="AI141" s="180">
        <v>1.1299999999999999E-2</v>
      </c>
      <c r="AJ141" s="176">
        <v>157.4</v>
      </c>
      <c r="AK141" s="128">
        <v>150.5</v>
      </c>
      <c r="AL141" s="128">
        <v>98.01</v>
      </c>
      <c r="AM141" s="180">
        <v>3.3599999999999998E-2</v>
      </c>
      <c r="AN141" s="129">
        <v>5.7700000000000001E-2</v>
      </c>
      <c r="AO141" s="178">
        <v>2020</v>
      </c>
    </row>
    <row r="142" spans="14:41" x14ac:dyDescent="0.3">
      <c r="N142" s="171">
        <v>45120</v>
      </c>
      <c r="O142" s="175">
        <v>81.36</v>
      </c>
      <c r="P142" s="83">
        <v>2023</v>
      </c>
      <c r="Q142" s="83">
        <v>7</v>
      </c>
      <c r="R142" s="83" t="s">
        <v>270</v>
      </c>
      <c r="T142" s="83">
        <v>2023</v>
      </c>
      <c r="U142" s="83" t="s">
        <v>431</v>
      </c>
      <c r="V142" s="84">
        <v>69</v>
      </c>
      <c r="W142" s="85">
        <v>1.46</v>
      </c>
      <c r="X142" s="86">
        <v>0.66579999999999995</v>
      </c>
      <c r="Y142" s="86">
        <v>8.14E-2</v>
      </c>
      <c r="Z142" s="85">
        <v>0.97</v>
      </c>
      <c r="AA142" s="86">
        <v>8.2199999999999995E-2</v>
      </c>
      <c r="AB142" s="85">
        <v>1.06</v>
      </c>
      <c r="AC142" s="87">
        <v>0.48499999999999999</v>
      </c>
      <c r="AD142" s="86">
        <v>0.3805</v>
      </c>
      <c r="AE142" s="86">
        <v>1.0024</v>
      </c>
      <c r="AG142" s="171">
        <v>43922</v>
      </c>
      <c r="AH142" s="177">
        <v>2585</v>
      </c>
      <c r="AI142" s="181">
        <v>6.7999999999999996E-3</v>
      </c>
      <c r="AJ142" s="177">
        <v>125.9</v>
      </c>
      <c r="AK142" s="85">
        <v>146.30000000000001</v>
      </c>
      <c r="AL142" s="85">
        <v>98.36</v>
      </c>
      <c r="AM142" s="181">
        <v>3.1800000000000002E-2</v>
      </c>
      <c r="AN142" s="86">
        <v>6.5199999999999994E-2</v>
      </c>
      <c r="AO142" s="179">
        <v>2020</v>
      </c>
    </row>
    <row r="143" spans="14:41" x14ac:dyDescent="0.3">
      <c r="N143" s="170">
        <v>45121</v>
      </c>
      <c r="O143" s="174">
        <v>79.87</v>
      </c>
      <c r="P143" s="126">
        <v>2023</v>
      </c>
      <c r="Q143" s="126">
        <v>7</v>
      </c>
      <c r="R143" s="126" t="s">
        <v>270</v>
      </c>
      <c r="T143" s="126">
        <v>2023</v>
      </c>
      <c r="U143" s="126" t="s">
        <v>432</v>
      </c>
      <c r="V143" s="127">
        <v>127</v>
      </c>
      <c r="W143" s="128">
        <v>1.1599999999999999</v>
      </c>
      <c r="X143" s="129">
        <v>0.1552</v>
      </c>
      <c r="Y143" s="129">
        <v>6.7299999999999999E-2</v>
      </c>
      <c r="Z143" s="128">
        <v>1.03</v>
      </c>
      <c r="AA143" s="129">
        <v>2.2100000000000002E-2</v>
      </c>
      <c r="AB143" s="128">
        <v>1.06</v>
      </c>
      <c r="AC143" s="130">
        <v>0.65769999999999995</v>
      </c>
      <c r="AD143" s="129">
        <v>0.56830000000000003</v>
      </c>
      <c r="AE143" s="129">
        <v>6.9199999999999998E-2</v>
      </c>
      <c r="AG143" s="170">
        <v>43952</v>
      </c>
      <c r="AH143" s="176">
        <v>2912</v>
      </c>
      <c r="AI143" s="180">
        <v>6.4000000000000003E-3</v>
      </c>
      <c r="AJ143" s="176">
        <v>125.9</v>
      </c>
      <c r="AK143" s="128">
        <v>146.30000000000001</v>
      </c>
      <c r="AL143" s="128">
        <v>98.36</v>
      </c>
      <c r="AM143" s="180">
        <v>3.1600000000000003E-2</v>
      </c>
      <c r="AN143" s="129">
        <v>6.0299999999999999E-2</v>
      </c>
      <c r="AO143" s="178">
        <v>2020</v>
      </c>
    </row>
    <row r="144" spans="14:41" x14ac:dyDescent="0.3">
      <c r="N144" s="171">
        <v>45124</v>
      </c>
      <c r="O144" s="175">
        <v>78.38</v>
      </c>
      <c r="P144" s="83">
        <v>2023</v>
      </c>
      <c r="Q144" s="83">
        <v>7</v>
      </c>
      <c r="R144" s="83" t="s">
        <v>270</v>
      </c>
      <c r="T144" s="83">
        <v>2023</v>
      </c>
      <c r="U144" s="83" t="s">
        <v>433</v>
      </c>
      <c r="V144" s="84">
        <v>73</v>
      </c>
      <c r="W144" s="85">
        <v>1.4</v>
      </c>
      <c r="X144" s="86">
        <v>0.13059999999999999</v>
      </c>
      <c r="Y144" s="86">
        <v>0.1245</v>
      </c>
      <c r="Z144" s="85">
        <v>1.28</v>
      </c>
      <c r="AA144" s="86">
        <v>4.0500000000000001E-2</v>
      </c>
      <c r="AB144" s="85">
        <v>1.33</v>
      </c>
      <c r="AC144" s="87">
        <v>0.4768</v>
      </c>
      <c r="AD144" s="86">
        <v>0.4511</v>
      </c>
      <c r="AE144" s="86">
        <v>0.28349999999999997</v>
      </c>
      <c r="AG144" s="171">
        <v>43983</v>
      </c>
      <c r="AH144" s="177">
        <v>3044</v>
      </c>
      <c r="AI144" s="181">
        <v>6.6E-3</v>
      </c>
      <c r="AJ144" s="177">
        <v>125.9</v>
      </c>
      <c r="AK144" s="85">
        <v>146.56</v>
      </c>
      <c r="AL144" s="85">
        <v>101.46</v>
      </c>
      <c r="AM144" s="181">
        <v>3.3300000000000003E-2</v>
      </c>
      <c r="AN144" s="86">
        <v>5.8099999999999999E-2</v>
      </c>
      <c r="AO144" s="179">
        <v>2020</v>
      </c>
    </row>
    <row r="145" spans="14:41" x14ac:dyDescent="0.3">
      <c r="N145" s="170">
        <v>45125</v>
      </c>
      <c r="O145" s="174">
        <v>79.5</v>
      </c>
      <c r="P145" s="126">
        <v>2023</v>
      </c>
      <c r="Q145" s="126">
        <v>7</v>
      </c>
      <c r="R145" s="126" t="s">
        <v>270</v>
      </c>
      <c r="T145" s="126">
        <v>2023</v>
      </c>
      <c r="U145" s="126" t="s">
        <v>434</v>
      </c>
      <c r="V145" s="127">
        <v>21</v>
      </c>
      <c r="W145" s="128">
        <v>1.23</v>
      </c>
      <c r="X145" s="129">
        <v>0.3049</v>
      </c>
      <c r="Y145" s="129">
        <v>0.1026</v>
      </c>
      <c r="Z145" s="128">
        <v>1</v>
      </c>
      <c r="AA145" s="129">
        <v>2.69E-2</v>
      </c>
      <c r="AB145" s="128">
        <v>1.03</v>
      </c>
      <c r="AC145" s="130">
        <v>0.4521</v>
      </c>
      <c r="AD145" s="129">
        <v>0.43759999999999999</v>
      </c>
      <c r="AE145" s="129">
        <v>0.37990000000000002</v>
      </c>
      <c r="AG145" s="170">
        <v>44013</v>
      </c>
      <c r="AH145" s="176">
        <v>3100</v>
      </c>
      <c r="AI145" s="180">
        <v>6.6E-3</v>
      </c>
      <c r="AJ145" s="176">
        <v>154.66999999999999</v>
      </c>
      <c r="AK145" s="128">
        <v>146.87</v>
      </c>
      <c r="AL145" s="128">
        <v>99.97</v>
      </c>
      <c r="AM145" s="180">
        <v>3.3300000000000003E-2</v>
      </c>
      <c r="AN145" s="129">
        <v>5.6800000000000003E-2</v>
      </c>
      <c r="AO145" s="178">
        <v>2020</v>
      </c>
    </row>
    <row r="146" spans="14:41" x14ac:dyDescent="0.3">
      <c r="N146" s="171">
        <v>45126</v>
      </c>
      <c r="O146" s="175">
        <v>79.349999999999994</v>
      </c>
      <c r="P146" s="83">
        <v>2023</v>
      </c>
      <c r="Q146" s="83">
        <v>7</v>
      </c>
      <c r="R146" s="83" t="s">
        <v>270</v>
      </c>
      <c r="T146" s="83">
        <v>2023</v>
      </c>
      <c r="U146" s="83" t="s">
        <v>435</v>
      </c>
      <c r="V146" s="84">
        <v>27</v>
      </c>
      <c r="W146" s="85">
        <v>0.94</v>
      </c>
      <c r="X146" s="86">
        <v>0.92400000000000004</v>
      </c>
      <c r="Y146" s="86">
        <v>0.11409999999999999</v>
      </c>
      <c r="Z146" s="85">
        <v>0.55000000000000004</v>
      </c>
      <c r="AA146" s="86">
        <v>0.16869999999999999</v>
      </c>
      <c r="AB146" s="85">
        <v>0.67</v>
      </c>
      <c r="AC146" s="87">
        <v>0.37740000000000001</v>
      </c>
      <c r="AD146" s="86">
        <v>0.28889999999999999</v>
      </c>
      <c r="AE146" s="86">
        <v>0.1953</v>
      </c>
      <c r="AG146" s="171">
        <v>44044</v>
      </c>
      <c r="AH146" s="177">
        <v>3271</v>
      </c>
      <c r="AI146" s="181">
        <v>5.4999999999999997E-3</v>
      </c>
      <c r="AJ146" s="177">
        <v>154.66999999999999</v>
      </c>
      <c r="AK146" s="85">
        <v>146.87</v>
      </c>
      <c r="AL146" s="85">
        <v>99.97</v>
      </c>
      <c r="AM146" s="181">
        <v>3.2800000000000003E-2</v>
      </c>
      <c r="AN146" s="86">
        <v>5.4300000000000001E-2</v>
      </c>
      <c r="AO146" s="179">
        <v>2020</v>
      </c>
    </row>
    <row r="147" spans="14:41" x14ac:dyDescent="0.3">
      <c r="N147" s="170">
        <v>45127</v>
      </c>
      <c r="O147" s="174">
        <v>79.52</v>
      </c>
      <c r="P147" s="126">
        <v>2023</v>
      </c>
      <c r="Q147" s="126">
        <v>7</v>
      </c>
      <c r="R147" s="126" t="s">
        <v>270</v>
      </c>
      <c r="T147" s="126">
        <v>2023</v>
      </c>
      <c r="U147" s="126" t="s">
        <v>499</v>
      </c>
      <c r="V147" s="127">
        <v>51</v>
      </c>
      <c r="W147" s="128">
        <v>0.8</v>
      </c>
      <c r="X147" s="129">
        <v>0.2147</v>
      </c>
      <c r="Y147" s="129">
        <v>0.10920000000000001</v>
      </c>
      <c r="Z147" s="128">
        <v>0.69</v>
      </c>
      <c r="AA147" s="129">
        <v>5.16E-2</v>
      </c>
      <c r="AB147" s="128">
        <v>0.73</v>
      </c>
      <c r="AC147" s="130">
        <v>0.35270000000000001</v>
      </c>
      <c r="AD147" s="129">
        <v>0.2767</v>
      </c>
      <c r="AE147" s="129">
        <v>0.25430000000000003</v>
      </c>
      <c r="AG147" s="170">
        <v>44075</v>
      </c>
      <c r="AH147" s="176">
        <v>3500</v>
      </c>
      <c r="AI147" s="180">
        <v>7.1999999999999998E-3</v>
      </c>
      <c r="AJ147" s="176">
        <v>154.66999999999999</v>
      </c>
      <c r="AK147" s="128">
        <v>146.87</v>
      </c>
      <c r="AL147" s="128">
        <v>99.97</v>
      </c>
      <c r="AM147" s="180">
        <v>3.3500000000000002E-2</v>
      </c>
      <c r="AN147" s="129">
        <v>0.05</v>
      </c>
      <c r="AO147" s="178">
        <v>2020</v>
      </c>
    </row>
    <row r="148" spans="14:41" x14ac:dyDescent="0.3">
      <c r="N148" s="171">
        <v>45128</v>
      </c>
      <c r="O148" s="175">
        <v>80.88</v>
      </c>
      <c r="P148" s="83">
        <v>2023</v>
      </c>
      <c r="Q148" s="83">
        <v>7</v>
      </c>
      <c r="R148" s="83" t="s">
        <v>270</v>
      </c>
      <c r="T148" s="83">
        <v>2023</v>
      </c>
      <c r="U148" s="83" t="s">
        <v>485</v>
      </c>
      <c r="V148" s="84">
        <v>600</v>
      </c>
      <c r="W148" s="85">
        <v>0.62</v>
      </c>
      <c r="X148" s="86">
        <v>0.38350000000000001</v>
      </c>
      <c r="Y148" s="86">
        <v>4.0099999999999997E-2</v>
      </c>
      <c r="Z148" s="85">
        <v>0.48</v>
      </c>
      <c r="AA148" s="86">
        <v>9.9400000000000002E-2</v>
      </c>
      <c r="AB148" s="85">
        <v>0.54</v>
      </c>
      <c r="AC148" s="87">
        <v>0.14990000000000001</v>
      </c>
      <c r="AD148" s="86">
        <v>9.9099999999999994E-2</v>
      </c>
      <c r="AE148" s="86">
        <v>0.26119999999999999</v>
      </c>
      <c r="AG148" s="171">
        <v>44105</v>
      </c>
      <c r="AH148" s="177">
        <v>3363</v>
      </c>
      <c r="AI148" s="181">
        <v>6.8999999999999999E-3</v>
      </c>
      <c r="AJ148" s="177">
        <v>167.68</v>
      </c>
      <c r="AK148" s="85">
        <v>137.63999999999999</v>
      </c>
      <c r="AL148" s="85">
        <v>98.88</v>
      </c>
      <c r="AM148" s="181">
        <v>3.8100000000000002E-2</v>
      </c>
      <c r="AN148" s="86">
        <v>5.2900000000000003E-2</v>
      </c>
      <c r="AO148" s="179">
        <v>2020</v>
      </c>
    </row>
    <row r="149" spans="14:41" x14ac:dyDescent="0.3">
      <c r="N149" s="170">
        <v>45131</v>
      </c>
      <c r="O149" s="174">
        <v>82.48</v>
      </c>
      <c r="P149" s="126">
        <v>2023</v>
      </c>
      <c r="Q149" s="126">
        <v>7</v>
      </c>
      <c r="R149" s="126" t="s">
        <v>270</v>
      </c>
      <c r="T149" s="126">
        <v>2023</v>
      </c>
      <c r="U149" s="126" t="s">
        <v>437</v>
      </c>
      <c r="V149" s="127">
        <v>116</v>
      </c>
      <c r="W149" s="128">
        <v>1.22</v>
      </c>
      <c r="X149" s="129">
        <v>0.2084</v>
      </c>
      <c r="Y149" s="129">
        <v>0.1037</v>
      </c>
      <c r="Z149" s="128">
        <v>1.06</v>
      </c>
      <c r="AA149" s="129">
        <v>3.1600000000000003E-2</v>
      </c>
      <c r="AB149" s="128">
        <v>1.0900000000000001</v>
      </c>
      <c r="AC149" s="130">
        <v>0.4224</v>
      </c>
      <c r="AD149" s="129">
        <v>0.3236</v>
      </c>
      <c r="AE149" s="129">
        <v>0.1691</v>
      </c>
      <c r="AG149" s="170">
        <v>44136</v>
      </c>
      <c r="AH149" s="176">
        <v>3270</v>
      </c>
      <c r="AI149" s="180">
        <v>8.8000000000000005E-3</v>
      </c>
      <c r="AJ149" s="176">
        <v>167.68</v>
      </c>
      <c r="AK149" s="128">
        <v>137.63999999999999</v>
      </c>
      <c r="AL149" s="128">
        <v>98.88</v>
      </c>
      <c r="AM149" s="180">
        <v>3.8600000000000002E-2</v>
      </c>
      <c r="AN149" s="129">
        <v>5.3499999999999999E-2</v>
      </c>
      <c r="AO149" s="178">
        <v>2020</v>
      </c>
    </row>
    <row r="150" spans="14:41" x14ac:dyDescent="0.3">
      <c r="N150" s="171">
        <v>45132</v>
      </c>
      <c r="O150" s="175">
        <v>83.25</v>
      </c>
      <c r="P150" s="83">
        <v>2023</v>
      </c>
      <c r="Q150" s="83">
        <v>7</v>
      </c>
      <c r="R150" s="83" t="s">
        <v>270</v>
      </c>
      <c r="T150" s="83">
        <v>2023</v>
      </c>
      <c r="U150" s="83" t="s">
        <v>438</v>
      </c>
      <c r="V150" s="84">
        <v>68</v>
      </c>
      <c r="W150" s="85">
        <v>1.29</v>
      </c>
      <c r="X150" s="86">
        <v>0.21540000000000001</v>
      </c>
      <c r="Y150" s="86">
        <v>4.1500000000000002E-2</v>
      </c>
      <c r="Z150" s="85">
        <v>1.1100000000000001</v>
      </c>
      <c r="AA150" s="86">
        <v>8.9099999999999999E-2</v>
      </c>
      <c r="AB150" s="85">
        <v>1.22</v>
      </c>
      <c r="AC150" s="87">
        <v>0.66579999999999995</v>
      </c>
      <c r="AD150" s="86">
        <v>0.7006</v>
      </c>
      <c r="AE150" s="86">
        <v>0.52710000000000001</v>
      </c>
      <c r="AG150" s="171">
        <v>44166</v>
      </c>
      <c r="AH150" s="177">
        <v>3622</v>
      </c>
      <c r="AI150" s="181">
        <v>8.3999999999999995E-3</v>
      </c>
      <c r="AJ150" s="177">
        <v>167.68</v>
      </c>
      <c r="AK150" s="85">
        <v>137.63999999999999</v>
      </c>
      <c r="AL150" s="85">
        <v>98.88</v>
      </c>
      <c r="AM150" s="181">
        <v>4.3700000000000003E-2</v>
      </c>
      <c r="AN150" s="86">
        <v>4.9700000000000001E-2</v>
      </c>
      <c r="AO150" s="179">
        <v>2020</v>
      </c>
    </row>
    <row r="151" spans="14:41" x14ac:dyDescent="0.3">
      <c r="N151" s="170">
        <v>45133</v>
      </c>
      <c r="O151" s="174">
        <v>82.56</v>
      </c>
      <c r="P151" s="126">
        <v>2023</v>
      </c>
      <c r="Q151" s="126">
        <v>7</v>
      </c>
      <c r="R151" s="126" t="s">
        <v>270</v>
      </c>
      <c r="T151" s="126">
        <v>2023</v>
      </c>
      <c r="U151" s="126" t="s">
        <v>439</v>
      </c>
      <c r="V151" s="127">
        <v>16</v>
      </c>
      <c r="W151" s="128">
        <v>1.18</v>
      </c>
      <c r="X151" s="129">
        <v>0.66800000000000004</v>
      </c>
      <c r="Y151" s="129">
        <v>0.1953</v>
      </c>
      <c r="Z151" s="128">
        <v>0.78</v>
      </c>
      <c r="AA151" s="129">
        <v>7.1800000000000003E-2</v>
      </c>
      <c r="AB151" s="128">
        <v>0.84</v>
      </c>
      <c r="AC151" s="130">
        <v>0.44419999999999998</v>
      </c>
      <c r="AD151" s="129">
        <v>0.35220000000000001</v>
      </c>
      <c r="AE151" s="129">
        <v>0.18329999999999999</v>
      </c>
      <c r="AG151" s="170">
        <v>44197</v>
      </c>
      <c r="AH151" s="176">
        <v>3756</v>
      </c>
      <c r="AI151" s="180">
        <v>9.2999999999999992E-3</v>
      </c>
      <c r="AJ151" s="176">
        <v>187.39</v>
      </c>
      <c r="AK151" s="128">
        <v>127.78</v>
      </c>
      <c r="AL151" s="128">
        <v>98.73</v>
      </c>
      <c r="AM151" s="180">
        <v>5.4199999999999998E-2</v>
      </c>
      <c r="AN151" s="129">
        <v>4.9399999999999999E-2</v>
      </c>
      <c r="AO151" s="178">
        <v>2021</v>
      </c>
    </row>
    <row r="152" spans="14:41" x14ac:dyDescent="0.3">
      <c r="N152" s="171">
        <v>45134</v>
      </c>
      <c r="O152" s="175">
        <v>83.79</v>
      </c>
      <c r="P152" s="83">
        <v>2023</v>
      </c>
      <c r="Q152" s="83">
        <v>7</v>
      </c>
      <c r="R152" s="83" t="s">
        <v>270</v>
      </c>
      <c r="T152" s="83">
        <v>2023</v>
      </c>
      <c r="U152" s="83" t="s">
        <v>440</v>
      </c>
      <c r="V152" s="84">
        <v>4</v>
      </c>
      <c r="W152" s="85">
        <v>0.98</v>
      </c>
      <c r="X152" s="86">
        <v>0.115</v>
      </c>
      <c r="Y152" s="86">
        <v>0.14219999999999999</v>
      </c>
      <c r="Z152" s="85">
        <v>0.9</v>
      </c>
      <c r="AA152" s="86">
        <v>4.9099999999999998E-2</v>
      </c>
      <c r="AB152" s="85">
        <v>0.95</v>
      </c>
      <c r="AC152" s="87">
        <v>0.34410000000000002</v>
      </c>
      <c r="AD152" s="86">
        <v>0.30549999999999999</v>
      </c>
      <c r="AE152" s="86">
        <v>0.97629999999999995</v>
      </c>
      <c r="AG152" s="171">
        <v>44228</v>
      </c>
      <c r="AH152" s="177">
        <v>3714</v>
      </c>
      <c r="AI152" s="181">
        <v>1.11E-2</v>
      </c>
      <c r="AJ152" s="177">
        <v>187.39</v>
      </c>
      <c r="AK152" s="85">
        <v>127.78</v>
      </c>
      <c r="AL152" s="85">
        <v>98.73</v>
      </c>
      <c r="AM152" s="181">
        <v>8.09E-2</v>
      </c>
      <c r="AN152" s="86">
        <v>4.7500000000000001E-2</v>
      </c>
      <c r="AO152" s="179">
        <v>2021</v>
      </c>
    </row>
    <row r="153" spans="14:41" x14ac:dyDescent="0.3">
      <c r="N153" s="170">
        <v>45135</v>
      </c>
      <c r="O153" s="174">
        <v>84.41</v>
      </c>
      <c r="P153" s="126">
        <v>2023</v>
      </c>
      <c r="Q153" s="126">
        <v>7</v>
      </c>
      <c r="R153" s="126" t="s">
        <v>270</v>
      </c>
      <c r="T153" s="126">
        <v>2023</v>
      </c>
      <c r="U153" s="126" t="s">
        <v>500</v>
      </c>
      <c r="V153" s="127">
        <v>174</v>
      </c>
      <c r="W153" s="128">
        <v>1.26</v>
      </c>
      <c r="X153" s="129">
        <v>0.20080000000000001</v>
      </c>
      <c r="Y153" s="129">
        <v>4.5999999999999999E-2</v>
      </c>
      <c r="Z153" s="128">
        <v>1.0900000000000001</v>
      </c>
      <c r="AA153" s="129">
        <v>3.8100000000000002E-2</v>
      </c>
      <c r="AB153" s="128">
        <v>1.1399999999999999</v>
      </c>
      <c r="AC153" s="130">
        <v>0.57899999999999996</v>
      </c>
      <c r="AD153" s="129">
        <v>0.56979999999999997</v>
      </c>
      <c r="AE153" s="129">
        <v>2.3178000000000001</v>
      </c>
      <c r="AG153" s="170">
        <v>44256</v>
      </c>
      <c r="AH153" s="176">
        <v>3811</v>
      </c>
      <c r="AI153" s="180">
        <v>1.43E-2</v>
      </c>
      <c r="AJ153" s="176">
        <v>187.39</v>
      </c>
      <c r="AK153" s="128">
        <v>127.78</v>
      </c>
      <c r="AL153" s="128">
        <v>98.73</v>
      </c>
      <c r="AM153" s="180">
        <v>8.4400000000000003E-2</v>
      </c>
      <c r="AN153" s="129">
        <v>4.5199999999999997E-2</v>
      </c>
      <c r="AO153" s="178">
        <v>2021</v>
      </c>
    </row>
    <row r="154" spans="14:41" x14ac:dyDescent="0.3">
      <c r="N154" s="171">
        <v>45138</v>
      </c>
      <c r="O154" s="175">
        <v>85.43</v>
      </c>
      <c r="P154" s="83">
        <v>2023</v>
      </c>
      <c r="Q154" s="83">
        <v>7</v>
      </c>
      <c r="R154" s="83" t="s">
        <v>270</v>
      </c>
      <c r="T154" s="83">
        <v>2023</v>
      </c>
      <c r="U154" s="83" t="s">
        <v>442</v>
      </c>
      <c r="V154" s="84">
        <v>23</v>
      </c>
      <c r="W154" s="85">
        <v>0.99</v>
      </c>
      <c r="X154" s="86">
        <v>0.71409999999999996</v>
      </c>
      <c r="Y154" s="86">
        <v>6.9000000000000006E-2</v>
      </c>
      <c r="Z154" s="85">
        <v>0.65</v>
      </c>
      <c r="AA154" s="86">
        <v>1.67E-2</v>
      </c>
      <c r="AB154" s="85">
        <v>0.66</v>
      </c>
      <c r="AC154" s="87">
        <v>0.42359999999999998</v>
      </c>
      <c r="AD154" s="86">
        <v>0.33550000000000002</v>
      </c>
      <c r="AE154" s="86">
        <v>0.33560000000000001</v>
      </c>
      <c r="AG154" s="171">
        <v>44287</v>
      </c>
      <c r="AH154" s="177">
        <v>3973</v>
      </c>
      <c r="AI154" s="181">
        <v>1.7500000000000002E-2</v>
      </c>
      <c r="AJ154" s="177">
        <v>193.22</v>
      </c>
      <c r="AK154" s="85">
        <v>118.65</v>
      </c>
      <c r="AL154" s="85">
        <v>108.83</v>
      </c>
      <c r="AM154" s="181">
        <v>8.7599999999999997E-2</v>
      </c>
      <c r="AN154" s="86">
        <v>4.2200000000000001E-2</v>
      </c>
      <c r="AO154" s="179">
        <v>2021</v>
      </c>
    </row>
    <row r="155" spans="14:41" x14ac:dyDescent="0.3">
      <c r="N155" s="170">
        <v>45139</v>
      </c>
      <c r="O155" s="174">
        <v>84.91</v>
      </c>
      <c r="P155" s="126">
        <v>2023</v>
      </c>
      <c r="Q155" s="126">
        <v>8</v>
      </c>
      <c r="R155" s="126" t="s">
        <v>270</v>
      </c>
      <c r="T155" s="126">
        <v>2023</v>
      </c>
      <c r="U155" s="126" t="s">
        <v>501</v>
      </c>
      <c r="V155" s="127">
        <v>101</v>
      </c>
      <c r="W155" s="128">
        <v>1.38</v>
      </c>
      <c r="X155" s="129">
        <v>0.32600000000000001</v>
      </c>
      <c r="Y155" s="129">
        <v>7.0699999999999999E-2</v>
      </c>
      <c r="Z155" s="128">
        <v>1.1000000000000001</v>
      </c>
      <c r="AA155" s="129">
        <v>6.9099999999999995E-2</v>
      </c>
      <c r="AB155" s="128">
        <v>1.19</v>
      </c>
      <c r="AC155" s="130">
        <v>0.5323</v>
      </c>
      <c r="AD155" s="129">
        <v>0.46899999999999997</v>
      </c>
      <c r="AE155" s="129">
        <v>0.67569999999999997</v>
      </c>
      <c r="AG155" s="170">
        <v>44317</v>
      </c>
      <c r="AH155" s="176">
        <v>4182</v>
      </c>
      <c r="AI155" s="180">
        <v>1.6299999999999999E-2</v>
      </c>
      <c r="AJ155" s="176">
        <v>193.22</v>
      </c>
      <c r="AK155" s="128">
        <v>118.65</v>
      </c>
      <c r="AL155" s="128">
        <v>108.83</v>
      </c>
      <c r="AM155" s="180">
        <v>8.9700000000000002E-2</v>
      </c>
      <c r="AN155" s="129">
        <v>4.07E-2</v>
      </c>
      <c r="AO155" s="178">
        <v>2021</v>
      </c>
    </row>
    <row r="156" spans="14:41" x14ac:dyDescent="0.3">
      <c r="N156" s="171">
        <v>45140</v>
      </c>
      <c r="O156" s="175">
        <v>83.2</v>
      </c>
      <c r="P156" s="83">
        <v>2023</v>
      </c>
      <c r="Q156" s="83">
        <v>8</v>
      </c>
      <c r="R156" s="83" t="s">
        <v>270</v>
      </c>
      <c r="T156" s="83">
        <v>2023</v>
      </c>
      <c r="U156" s="83" t="s">
        <v>444</v>
      </c>
      <c r="V156" s="84">
        <v>25</v>
      </c>
      <c r="W156" s="85">
        <v>0.95</v>
      </c>
      <c r="X156" s="86">
        <v>0.61970000000000003</v>
      </c>
      <c r="Y156" s="86">
        <v>0.14660000000000001</v>
      </c>
      <c r="Z156" s="85">
        <v>0.65</v>
      </c>
      <c r="AA156" s="86">
        <v>3.0200000000000001E-2</v>
      </c>
      <c r="AB156" s="85">
        <v>0.67</v>
      </c>
      <c r="AC156" s="87">
        <v>0.36890000000000001</v>
      </c>
      <c r="AD156" s="86">
        <v>0.24429999999999999</v>
      </c>
      <c r="AE156" s="86">
        <v>8.1699999999999995E-2</v>
      </c>
      <c r="AG156" s="171">
        <v>44348</v>
      </c>
      <c r="AH156" s="177">
        <v>4204</v>
      </c>
      <c r="AI156" s="181">
        <v>1.5800000000000002E-2</v>
      </c>
      <c r="AJ156" s="177">
        <v>193.22</v>
      </c>
      <c r="AK156" s="85">
        <v>118.65</v>
      </c>
      <c r="AL156" s="85">
        <v>108.83</v>
      </c>
      <c r="AM156" s="181">
        <v>9.69E-2</v>
      </c>
      <c r="AN156" s="86">
        <v>4.2000000000000003E-2</v>
      </c>
      <c r="AO156" s="179">
        <v>2021</v>
      </c>
    </row>
    <row r="157" spans="14:41" x14ac:dyDescent="0.3">
      <c r="N157" s="170">
        <v>45141</v>
      </c>
      <c r="O157" s="174">
        <v>85.14</v>
      </c>
      <c r="P157" s="126">
        <v>2023</v>
      </c>
      <c r="Q157" s="126">
        <v>8</v>
      </c>
      <c r="R157" s="126" t="s">
        <v>270</v>
      </c>
      <c r="T157" s="126">
        <v>2023</v>
      </c>
      <c r="U157" s="126" t="s">
        <v>445</v>
      </c>
      <c r="V157" s="127">
        <v>7</v>
      </c>
      <c r="W157" s="128">
        <v>1.38</v>
      </c>
      <c r="X157" s="129">
        <v>0.43869999999999998</v>
      </c>
      <c r="Y157" s="129">
        <v>0.12759999999999999</v>
      </c>
      <c r="Z157" s="128">
        <v>1.04</v>
      </c>
      <c r="AA157" s="129">
        <v>7.5700000000000003E-2</v>
      </c>
      <c r="AB157" s="128">
        <v>1.1299999999999999</v>
      </c>
      <c r="AC157" s="130">
        <v>0.60119999999999996</v>
      </c>
      <c r="AD157" s="129">
        <v>0.4284</v>
      </c>
      <c r="AE157" s="129">
        <v>0.92830000000000001</v>
      </c>
      <c r="AG157" s="170">
        <v>44378</v>
      </c>
      <c r="AH157" s="176">
        <v>4298</v>
      </c>
      <c r="AI157" s="180">
        <v>1.47E-2</v>
      </c>
      <c r="AJ157" s="176">
        <v>209</v>
      </c>
      <c r="AK157" s="128">
        <v>116.17</v>
      </c>
      <c r="AL157" s="128">
        <v>110.79</v>
      </c>
      <c r="AM157" s="180">
        <v>9.7900000000000001E-2</v>
      </c>
      <c r="AN157" s="129">
        <v>4.3099999999999999E-2</v>
      </c>
      <c r="AO157" s="178">
        <v>2021</v>
      </c>
    </row>
    <row r="158" spans="14:41" x14ac:dyDescent="0.3">
      <c r="N158" s="171">
        <v>45142</v>
      </c>
      <c r="O158" s="175">
        <v>86.24</v>
      </c>
      <c r="P158" s="83">
        <v>2023</v>
      </c>
      <c r="Q158" s="83">
        <v>8</v>
      </c>
      <c r="R158" s="83" t="s">
        <v>270</v>
      </c>
      <c r="T158" s="83">
        <v>2023</v>
      </c>
      <c r="U158" s="83" t="s">
        <v>446</v>
      </c>
      <c r="V158" s="84">
        <v>48</v>
      </c>
      <c r="W158" s="85">
        <v>0.73</v>
      </c>
      <c r="X158" s="86">
        <v>0.77159999999999995</v>
      </c>
      <c r="Y158" s="86">
        <v>0.123</v>
      </c>
      <c r="Z158" s="85">
        <v>0.46</v>
      </c>
      <c r="AA158" s="86">
        <v>1.03E-2</v>
      </c>
      <c r="AB158" s="85">
        <v>0.46</v>
      </c>
      <c r="AC158" s="87">
        <v>0.25559999999999999</v>
      </c>
      <c r="AD158" s="86">
        <v>0.17180000000000001</v>
      </c>
      <c r="AE158" s="86">
        <v>8.0600000000000005E-2</v>
      </c>
      <c r="AG158" s="171">
        <v>44409</v>
      </c>
      <c r="AH158" s="177">
        <v>4395</v>
      </c>
      <c r="AI158" s="181">
        <v>1.23E-2</v>
      </c>
      <c r="AJ158" s="177">
        <v>209</v>
      </c>
      <c r="AK158" s="85">
        <v>116.17</v>
      </c>
      <c r="AL158" s="85">
        <v>110.79</v>
      </c>
      <c r="AM158" s="181">
        <v>9.7699999999999995E-2</v>
      </c>
      <c r="AN158" s="86">
        <v>4.3099999999999999E-2</v>
      </c>
      <c r="AO158" s="179">
        <v>2021</v>
      </c>
    </row>
    <row r="159" spans="14:41" x14ac:dyDescent="0.3">
      <c r="N159" s="170">
        <v>45145</v>
      </c>
      <c r="O159" s="174">
        <v>85.34</v>
      </c>
      <c r="P159" s="126">
        <v>2023</v>
      </c>
      <c r="Q159" s="126">
        <v>8</v>
      </c>
      <c r="R159" s="126" t="s">
        <v>270</v>
      </c>
      <c r="T159" s="126">
        <v>2023</v>
      </c>
      <c r="U159" s="126" t="s">
        <v>447</v>
      </c>
      <c r="V159" s="127">
        <v>74</v>
      </c>
      <c r="W159" s="128">
        <v>1.23</v>
      </c>
      <c r="X159" s="129">
        <v>0.1633</v>
      </c>
      <c r="Y159" s="129">
        <v>2.87E-2</v>
      </c>
      <c r="Z159" s="128">
        <v>1.1000000000000001</v>
      </c>
      <c r="AA159" s="129">
        <v>7.4300000000000005E-2</v>
      </c>
      <c r="AB159" s="128">
        <v>1.19</v>
      </c>
      <c r="AC159" s="130">
        <v>0.69469999999999998</v>
      </c>
      <c r="AD159" s="129">
        <v>0.72540000000000004</v>
      </c>
      <c r="AE159" s="129">
        <v>0.70820000000000005</v>
      </c>
      <c r="AG159" s="170">
        <v>44440</v>
      </c>
      <c r="AH159" s="176">
        <v>4523</v>
      </c>
      <c r="AI159" s="180">
        <v>1.3100000000000001E-2</v>
      </c>
      <c r="AJ159" s="176">
        <v>209</v>
      </c>
      <c r="AK159" s="128">
        <v>116.17</v>
      </c>
      <c r="AL159" s="128">
        <v>110.79</v>
      </c>
      <c r="AM159" s="180">
        <v>0.1231</v>
      </c>
      <c r="AN159" s="129">
        <v>4.6100000000000002E-2</v>
      </c>
      <c r="AO159" s="178">
        <v>2021</v>
      </c>
    </row>
    <row r="160" spans="14:41" x14ac:dyDescent="0.3">
      <c r="N160" s="171">
        <v>45146</v>
      </c>
      <c r="O160" s="175">
        <v>86.17</v>
      </c>
      <c r="P160" s="83">
        <v>2023</v>
      </c>
      <c r="Q160" s="83">
        <v>8</v>
      </c>
      <c r="R160" s="83" t="s">
        <v>270</v>
      </c>
      <c r="T160" s="83">
        <v>2023</v>
      </c>
      <c r="U160" s="83" t="s">
        <v>494</v>
      </c>
      <c r="V160" s="84">
        <v>20</v>
      </c>
      <c r="W160" s="85">
        <v>1.1100000000000001</v>
      </c>
      <c r="X160" s="86">
        <v>0.42180000000000001</v>
      </c>
      <c r="Y160" s="86">
        <v>9.6699999999999994E-2</v>
      </c>
      <c r="Z160" s="85">
        <v>0.85</v>
      </c>
      <c r="AA160" s="86">
        <v>7.3499999999999996E-2</v>
      </c>
      <c r="AB160" s="85">
        <v>0.91</v>
      </c>
      <c r="AC160" s="87">
        <v>0.4607</v>
      </c>
      <c r="AD160" s="86">
        <v>0.30919999999999997</v>
      </c>
      <c r="AE160" s="86">
        <v>0.1203</v>
      </c>
      <c r="AG160" s="171">
        <v>44470</v>
      </c>
      <c r="AH160" s="177">
        <v>4308</v>
      </c>
      <c r="AI160" s="181">
        <v>1.52E-2</v>
      </c>
      <c r="AJ160" s="177">
        <v>209.49</v>
      </c>
      <c r="AK160" s="85">
        <v>129.76</v>
      </c>
      <c r="AL160" s="85">
        <v>112.58</v>
      </c>
      <c r="AM160" s="181">
        <v>0.123</v>
      </c>
      <c r="AN160" s="86">
        <v>4.8399999999999999E-2</v>
      </c>
      <c r="AO160" s="179">
        <v>2021</v>
      </c>
    </row>
    <row r="161" spans="14:41" x14ac:dyDescent="0.3">
      <c r="N161" s="170">
        <v>45147</v>
      </c>
      <c r="O161" s="174">
        <v>87.55</v>
      </c>
      <c r="P161" s="126">
        <v>2023</v>
      </c>
      <c r="Q161" s="126">
        <v>8</v>
      </c>
      <c r="R161" s="126" t="s">
        <v>270</v>
      </c>
      <c r="T161" s="126">
        <v>2023</v>
      </c>
      <c r="U161" s="126" t="s">
        <v>502</v>
      </c>
      <c r="V161" s="127">
        <v>223</v>
      </c>
      <c r="W161" s="128">
        <v>1.06</v>
      </c>
      <c r="X161" s="129">
        <v>0.77329999999999999</v>
      </c>
      <c r="Y161" s="129">
        <v>3.3799999999999997E-2</v>
      </c>
      <c r="Z161" s="128">
        <v>0.67</v>
      </c>
      <c r="AA161" s="129">
        <v>1.83E-2</v>
      </c>
      <c r="AB161" s="128">
        <v>0.69</v>
      </c>
      <c r="AC161" s="130">
        <v>0.30830000000000002</v>
      </c>
      <c r="AD161" s="129">
        <v>0.21540000000000001</v>
      </c>
      <c r="AE161" s="129">
        <v>0.2059</v>
      </c>
      <c r="AG161" s="170">
        <v>44501</v>
      </c>
      <c r="AH161" s="176">
        <v>4605</v>
      </c>
      <c r="AI161" s="180">
        <v>1.5599999999999999E-2</v>
      </c>
      <c r="AJ161" s="176">
        <v>209.49</v>
      </c>
      <c r="AK161" s="128">
        <v>129.76</v>
      </c>
      <c r="AL161" s="128">
        <v>112.58</v>
      </c>
      <c r="AM161" s="180">
        <v>0.1239</v>
      </c>
      <c r="AN161" s="129">
        <v>4.53E-2</v>
      </c>
      <c r="AO161" s="178">
        <v>2021</v>
      </c>
    </row>
    <row r="162" spans="14:41" x14ac:dyDescent="0.3">
      <c r="N162" s="171">
        <v>45148</v>
      </c>
      <c r="O162" s="175">
        <v>86.4</v>
      </c>
      <c r="P162" s="83">
        <v>2023</v>
      </c>
      <c r="Q162" s="83">
        <v>8</v>
      </c>
      <c r="R162" s="83" t="s">
        <v>270</v>
      </c>
      <c r="T162" s="83">
        <v>2023</v>
      </c>
      <c r="U162" s="83" t="s">
        <v>449</v>
      </c>
      <c r="V162" s="84">
        <v>18</v>
      </c>
      <c r="W162" s="85">
        <v>1.52</v>
      </c>
      <c r="X162" s="86">
        <v>1.1255999999999999</v>
      </c>
      <c r="Y162" s="86">
        <v>6.6600000000000006E-2</v>
      </c>
      <c r="Z162" s="85">
        <v>0.82</v>
      </c>
      <c r="AA162" s="86">
        <v>6.9500000000000006E-2</v>
      </c>
      <c r="AB162" s="85">
        <v>0.88</v>
      </c>
      <c r="AC162" s="87">
        <v>0.59360000000000002</v>
      </c>
      <c r="AD162" s="86">
        <v>0.51249999999999996</v>
      </c>
      <c r="AE162" s="86">
        <v>0.69869999999999999</v>
      </c>
      <c r="AG162" s="171">
        <v>44531</v>
      </c>
      <c r="AH162" s="177">
        <v>4567</v>
      </c>
      <c r="AI162" s="181">
        <v>1.4500000000000001E-2</v>
      </c>
      <c r="AJ162" s="177">
        <v>209.49</v>
      </c>
      <c r="AK162" s="85">
        <v>129.76</v>
      </c>
      <c r="AL162" s="85">
        <v>112.58</v>
      </c>
      <c r="AM162" s="181">
        <v>0.13200000000000001</v>
      </c>
      <c r="AN162" s="86">
        <v>4.7699999999999999E-2</v>
      </c>
      <c r="AO162" s="179">
        <v>2021</v>
      </c>
    </row>
    <row r="163" spans="14:41" x14ac:dyDescent="0.3">
      <c r="N163" s="170">
        <v>45149</v>
      </c>
      <c r="O163" s="174">
        <v>86.81</v>
      </c>
      <c r="P163" s="126">
        <v>2023</v>
      </c>
      <c r="Q163" s="126">
        <v>8</v>
      </c>
      <c r="R163" s="126" t="s">
        <v>270</v>
      </c>
      <c r="T163" s="126">
        <v>2023</v>
      </c>
      <c r="U163" s="126" t="s">
        <v>486</v>
      </c>
      <c r="V163" s="127">
        <v>12</v>
      </c>
      <c r="W163" s="128">
        <v>0.79</v>
      </c>
      <c r="X163" s="129">
        <v>0.3982</v>
      </c>
      <c r="Y163" s="129">
        <v>9.3700000000000006E-2</v>
      </c>
      <c r="Z163" s="128">
        <v>0.61</v>
      </c>
      <c r="AA163" s="129">
        <v>8.5400000000000004E-2</v>
      </c>
      <c r="AB163" s="128">
        <v>0.66</v>
      </c>
      <c r="AC163" s="130">
        <v>0.52649999999999997</v>
      </c>
      <c r="AD163" s="129">
        <v>0.28660000000000002</v>
      </c>
      <c r="AE163" s="129">
        <v>1.1189</v>
      </c>
      <c r="AG163" s="170">
        <v>44562</v>
      </c>
      <c r="AH163" s="176">
        <v>4766</v>
      </c>
      <c r="AI163" s="180">
        <v>1.5100000000000001E-2</v>
      </c>
      <c r="AJ163" s="176">
        <v>231.8</v>
      </c>
      <c r="AK163" s="128">
        <v>147.24</v>
      </c>
      <c r="AL163" s="128">
        <v>113.62</v>
      </c>
      <c r="AM163" s="180">
        <v>6.4699999999999994E-2</v>
      </c>
      <c r="AN163" s="129">
        <v>4.9000000000000002E-2</v>
      </c>
      <c r="AO163" s="178">
        <v>2022</v>
      </c>
    </row>
    <row r="164" spans="14:41" x14ac:dyDescent="0.3">
      <c r="N164" s="171">
        <v>45152</v>
      </c>
      <c r="O164" s="175">
        <v>85.51</v>
      </c>
      <c r="P164" s="83">
        <v>2023</v>
      </c>
      <c r="Q164" s="83">
        <v>8</v>
      </c>
      <c r="R164" s="83" t="s">
        <v>270</v>
      </c>
      <c r="T164" s="83">
        <v>2023</v>
      </c>
      <c r="U164" s="83" t="s">
        <v>450</v>
      </c>
      <c r="V164" s="84">
        <v>60</v>
      </c>
      <c r="W164" s="85">
        <v>1.35</v>
      </c>
      <c r="X164" s="86">
        <v>1.0926</v>
      </c>
      <c r="Y164" s="86">
        <v>5.4699999999999999E-2</v>
      </c>
      <c r="Z164" s="85">
        <v>0.74</v>
      </c>
      <c r="AA164" s="86">
        <v>8.14E-2</v>
      </c>
      <c r="AB164" s="85">
        <v>0.81</v>
      </c>
      <c r="AC164" s="87">
        <v>0.53690000000000004</v>
      </c>
      <c r="AD164" s="86">
        <v>0.44429999999999997</v>
      </c>
      <c r="AE164" s="86">
        <v>1.2181999999999999</v>
      </c>
      <c r="AG164" s="171">
        <v>44593</v>
      </c>
      <c r="AH164" s="177">
        <v>4515</v>
      </c>
      <c r="AI164" s="181">
        <v>1.7899999999999999E-2</v>
      </c>
      <c r="AJ164" s="177">
        <v>23.18</v>
      </c>
      <c r="AK164" s="85">
        <v>147.24</v>
      </c>
      <c r="AL164" s="85">
        <v>113.62</v>
      </c>
      <c r="AM164" s="181">
        <v>7.1499999999999994E-2</v>
      </c>
      <c r="AN164" s="86">
        <v>5.1700000000000003E-2</v>
      </c>
      <c r="AO164" s="179">
        <v>2022</v>
      </c>
    </row>
    <row r="165" spans="14:41" x14ac:dyDescent="0.3">
      <c r="N165" s="170">
        <v>45153</v>
      </c>
      <c r="O165" s="174">
        <v>84.28</v>
      </c>
      <c r="P165" s="126">
        <v>2023</v>
      </c>
      <c r="Q165" s="126">
        <v>8</v>
      </c>
      <c r="R165" s="126" t="s">
        <v>270</v>
      </c>
      <c r="T165" s="126">
        <v>2023</v>
      </c>
      <c r="U165" s="126" t="s">
        <v>451</v>
      </c>
      <c r="V165" s="127">
        <v>57</v>
      </c>
      <c r="W165" s="128">
        <v>1.42</v>
      </c>
      <c r="X165" s="129">
        <v>0.52059999999999995</v>
      </c>
      <c r="Y165" s="129">
        <v>9.4899999999999998E-2</v>
      </c>
      <c r="Z165" s="128">
        <v>1.02</v>
      </c>
      <c r="AA165" s="129">
        <v>5.1799999999999999E-2</v>
      </c>
      <c r="AB165" s="128">
        <v>1.08</v>
      </c>
      <c r="AC165" s="130">
        <v>0.59389999999999998</v>
      </c>
      <c r="AD165" s="129">
        <v>0.42130000000000001</v>
      </c>
      <c r="AE165" s="129">
        <v>0.183</v>
      </c>
      <c r="AG165" s="170">
        <v>44621</v>
      </c>
      <c r="AH165" s="176">
        <v>4374</v>
      </c>
      <c r="AI165" s="180">
        <v>1.83E-2</v>
      </c>
      <c r="AJ165" s="176">
        <v>231.8</v>
      </c>
      <c r="AK165" s="128">
        <v>147.24</v>
      </c>
      <c r="AL165" s="128">
        <v>113.62</v>
      </c>
      <c r="AM165" s="180">
        <v>7.17E-2</v>
      </c>
      <c r="AN165" s="129">
        <v>5.3699999999999998E-2</v>
      </c>
      <c r="AO165" s="178">
        <v>2022</v>
      </c>
    </row>
    <row r="166" spans="14:41" x14ac:dyDescent="0.3">
      <c r="N166" s="171">
        <v>45154</v>
      </c>
      <c r="O166" s="175">
        <v>83.02</v>
      </c>
      <c r="P166" s="83">
        <v>2023</v>
      </c>
      <c r="Q166" s="83">
        <v>8</v>
      </c>
      <c r="R166" s="83" t="s">
        <v>270</v>
      </c>
      <c r="T166" s="83">
        <v>2023</v>
      </c>
      <c r="U166" s="83" t="s">
        <v>452</v>
      </c>
      <c r="V166" s="84">
        <v>1</v>
      </c>
      <c r="W166" s="85">
        <v>0.83</v>
      </c>
      <c r="X166" s="86">
        <v>0.45100000000000001</v>
      </c>
      <c r="Y166" s="86">
        <v>6.4799999999999996E-2</v>
      </c>
      <c r="Z166" s="85">
        <v>0.62</v>
      </c>
      <c r="AA166" s="86">
        <v>0.25490000000000002</v>
      </c>
      <c r="AB166" s="85">
        <v>0.83</v>
      </c>
      <c r="AC166" s="87">
        <v>0.20760000000000001</v>
      </c>
      <c r="AD166" s="86">
        <v>0.19370000000000001</v>
      </c>
      <c r="AE166" s="86">
        <v>0.2177</v>
      </c>
      <c r="AG166" s="171">
        <v>44652</v>
      </c>
      <c r="AH166" s="177">
        <v>4530</v>
      </c>
      <c r="AI166" s="181">
        <v>2.3300000000000001E-2</v>
      </c>
      <c r="AJ166" s="177">
        <v>210.4</v>
      </c>
      <c r="AK166" s="85">
        <v>165.26</v>
      </c>
      <c r="AL166" s="85">
        <v>126.32</v>
      </c>
      <c r="AM166" s="181">
        <v>7.3700000000000002E-2</v>
      </c>
      <c r="AN166" s="86">
        <v>0.05</v>
      </c>
      <c r="AO166" s="179">
        <v>2022</v>
      </c>
    </row>
    <row r="167" spans="14:41" x14ac:dyDescent="0.3">
      <c r="N167" s="170">
        <v>45155</v>
      </c>
      <c r="O167" s="174">
        <v>83.67</v>
      </c>
      <c r="P167" s="126">
        <v>2023</v>
      </c>
      <c r="Q167" s="126">
        <v>8</v>
      </c>
      <c r="R167" s="126" t="s">
        <v>270</v>
      </c>
      <c r="T167" s="126">
        <v>2023</v>
      </c>
      <c r="U167" s="126" t="s">
        <v>487</v>
      </c>
      <c r="V167" s="127">
        <v>70</v>
      </c>
      <c r="W167" s="128">
        <v>1.41</v>
      </c>
      <c r="X167" s="129">
        <v>0.30780000000000002</v>
      </c>
      <c r="Y167" s="129">
        <v>8.5400000000000004E-2</v>
      </c>
      <c r="Z167" s="128">
        <v>1.1499999999999999</v>
      </c>
      <c r="AA167" s="129">
        <v>1.72E-2</v>
      </c>
      <c r="AB167" s="128">
        <v>1.17</v>
      </c>
      <c r="AC167" s="130">
        <v>0.47489999999999999</v>
      </c>
      <c r="AD167" s="129">
        <v>0.41149999999999998</v>
      </c>
      <c r="AE167" s="129">
        <v>0.16309999999999999</v>
      </c>
      <c r="AG167" s="170">
        <v>44682</v>
      </c>
      <c r="AH167" s="176">
        <v>4132</v>
      </c>
      <c r="AI167" s="180">
        <v>2.8899999999999999E-2</v>
      </c>
      <c r="AJ167" s="176">
        <v>210.4</v>
      </c>
      <c r="AK167" s="128">
        <v>165.26</v>
      </c>
      <c r="AL167" s="128">
        <v>126.32</v>
      </c>
      <c r="AM167" s="180">
        <v>7.6700000000000004E-2</v>
      </c>
      <c r="AN167" s="129">
        <v>5.2299999999999999E-2</v>
      </c>
      <c r="AO167" s="178">
        <v>2022</v>
      </c>
    </row>
    <row r="168" spans="14:41" x14ac:dyDescent="0.3">
      <c r="N168" s="171">
        <v>45156</v>
      </c>
      <c r="O168" s="175">
        <v>84.36</v>
      </c>
      <c r="P168" s="83">
        <v>2023</v>
      </c>
      <c r="Q168" s="83">
        <v>8</v>
      </c>
      <c r="R168" s="83" t="s">
        <v>270</v>
      </c>
      <c r="T168" s="83">
        <v>2023</v>
      </c>
      <c r="U168" s="83" t="s">
        <v>453</v>
      </c>
      <c r="V168" s="84">
        <v>30</v>
      </c>
      <c r="W168" s="85">
        <v>1.52</v>
      </c>
      <c r="X168" s="86">
        <v>0.57489999999999997</v>
      </c>
      <c r="Y168" s="86">
        <v>0.15840000000000001</v>
      </c>
      <c r="Z168" s="85">
        <v>1.06</v>
      </c>
      <c r="AA168" s="86">
        <v>1.89E-2</v>
      </c>
      <c r="AB168" s="85">
        <v>1.08</v>
      </c>
      <c r="AC168" s="87">
        <v>0.49580000000000002</v>
      </c>
      <c r="AD168" s="86">
        <v>0.35709999999999997</v>
      </c>
      <c r="AE168" s="86">
        <v>0.31380000000000002</v>
      </c>
      <c r="AG168" s="171">
        <v>44713</v>
      </c>
      <c r="AH168" s="177">
        <v>4132</v>
      </c>
      <c r="AI168" s="181">
        <v>2.86E-2</v>
      </c>
      <c r="AJ168" s="177">
        <v>210.4</v>
      </c>
      <c r="AK168" s="85">
        <v>165.26</v>
      </c>
      <c r="AL168" s="85">
        <v>126.32</v>
      </c>
      <c r="AM168" s="181">
        <v>7.2999999999999995E-2</v>
      </c>
      <c r="AN168" s="86">
        <v>5.1700000000000003E-2</v>
      </c>
      <c r="AO168" s="179">
        <v>2022</v>
      </c>
    </row>
    <row r="169" spans="14:41" x14ac:dyDescent="0.3">
      <c r="N169" s="170">
        <v>45159</v>
      </c>
      <c r="O169" s="174">
        <v>84.09</v>
      </c>
      <c r="P169" s="126">
        <v>2023</v>
      </c>
      <c r="Q169" s="126">
        <v>8</v>
      </c>
      <c r="R169" s="126" t="s">
        <v>270</v>
      </c>
      <c r="T169" s="126">
        <v>2023</v>
      </c>
      <c r="U169" s="126" t="s">
        <v>454</v>
      </c>
      <c r="V169" s="127">
        <v>15</v>
      </c>
      <c r="W169" s="128">
        <v>1.79</v>
      </c>
      <c r="X169" s="129">
        <v>0.21210000000000001</v>
      </c>
      <c r="Y169" s="129">
        <v>0.13389999999999999</v>
      </c>
      <c r="Z169" s="128">
        <v>1.54</v>
      </c>
      <c r="AA169" s="129">
        <v>1.4999999999999999E-2</v>
      </c>
      <c r="AB169" s="128">
        <v>1.57</v>
      </c>
      <c r="AC169" s="130">
        <v>0.4708</v>
      </c>
      <c r="AD169" s="129">
        <v>0.3755</v>
      </c>
      <c r="AE169" s="129">
        <v>0.3382</v>
      </c>
      <c r="AG169" s="170">
        <v>44743</v>
      </c>
      <c r="AH169" s="176">
        <v>3785</v>
      </c>
      <c r="AI169" s="180">
        <v>3.0200000000000001E-2</v>
      </c>
      <c r="AJ169" s="176">
        <v>175.8</v>
      </c>
      <c r="AK169" s="128">
        <v>191.83</v>
      </c>
      <c r="AL169" s="128">
        <v>126.44</v>
      </c>
      <c r="AM169" s="180">
        <v>7.7899999999999997E-2</v>
      </c>
      <c r="AN169" s="129">
        <v>5.6899999999999999E-2</v>
      </c>
      <c r="AO169" s="178">
        <v>2022</v>
      </c>
    </row>
    <row r="170" spans="14:41" x14ac:dyDescent="0.3">
      <c r="N170" s="171">
        <v>45160</v>
      </c>
      <c r="O170" s="175">
        <v>83.69</v>
      </c>
      <c r="P170" s="83">
        <v>2023</v>
      </c>
      <c r="Q170" s="83">
        <v>8</v>
      </c>
      <c r="R170" s="83" t="s">
        <v>270</v>
      </c>
      <c r="T170" s="83">
        <v>2023</v>
      </c>
      <c r="U170" s="83" t="s">
        <v>455</v>
      </c>
      <c r="V170" s="84">
        <v>69</v>
      </c>
      <c r="W170" s="85">
        <v>1.28</v>
      </c>
      <c r="X170" s="86">
        <v>0.3957</v>
      </c>
      <c r="Y170" s="86">
        <v>0.13589999999999999</v>
      </c>
      <c r="Z170" s="85">
        <v>0.98</v>
      </c>
      <c r="AA170" s="86">
        <v>2.2499999999999999E-2</v>
      </c>
      <c r="AB170" s="85">
        <v>1.01</v>
      </c>
      <c r="AC170" s="87">
        <v>0.46189999999999998</v>
      </c>
      <c r="AD170" s="86">
        <v>0.37080000000000002</v>
      </c>
      <c r="AE170" s="86">
        <v>0.2535</v>
      </c>
      <c r="AG170" s="171">
        <v>44774</v>
      </c>
      <c r="AH170" s="177">
        <v>4130</v>
      </c>
      <c r="AI170" s="181">
        <v>2.6499999999999999E-2</v>
      </c>
      <c r="AJ170" s="177">
        <v>175.8</v>
      </c>
      <c r="AK170" s="85">
        <v>191.83</v>
      </c>
      <c r="AL170" s="85">
        <v>126.44</v>
      </c>
      <c r="AM170" s="181">
        <v>7.0699999999999999E-2</v>
      </c>
      <c r="AN170" s="86">
        <v>5.2600000000000001E-2</v>
      </c>
      <c r="AO170" s="179">
        <v>2022</v>
      </c>
    </row>
    <row r="171" spans="14:41" x14ac:dyDescent="0.3">
      <c r="N171" s="170">
        <v>45161</v>
      </c>
      <c r="O171" s="174">
        <v>82.84</v>
      </c>
      <c r="P171" s="126">
        <v>2023</v>
      </c>
      <c r="Q171" s="126">
        <v>8</v>
      </c>
      <c r="R171" s="126" t="s">
        <v>270</v>
      </c>
      <c r="T171" s="126">
        <v>2023</v>
      </c>
      <c r="U171" s="126" t="s">
        <v>456</v>
      </c>
      <c r="V171" s="127">
        <v>15</v>
      </c>
      <c r="W171" s="128">
        <v>1.36</v>
      </c>
      <c r="X171" s="129">
        <v>0.19969999999999999</v>
      </c>
      <c r="Y171" s="129">
        <v>0.21260000000000001</v>
      </c>
      <c r="Z171" s="128">
        <v>1.19</v>
      </c>
      <c r="AA171" s="129">
        <v>2.8199999999999999E-2</v>
      </c>
      <c r="AB171" s="128">
        <v>1.22</v>
      </c>
      <c r="AC171" s="130">
        <v>0.34599999999999997</v>
      </c>
      <c r="AD171" s="129">
        <v>0.31530000000000002</v>
      </c>
      <c r="AE171" s="129">
        <v>0.1108</v>
      </c>
      <c r="AG171" s="170">
        <v>44805</v>
      </c>
      <c r="AH171" s="176">
        <v>3955</v>
      </c>
      <c r="AI171" s="180">
        <v>3.1899999999999998E-2</v>
      </c>
      <c r="AJ171" s="176">
        <v>175.8</v>
      </c>
      <c r="AK171" s="128">
        <v>191.83</v>
      </c>
      <c r="AL171" s="128">
        <v>126.44</v>
      </c>
      <c r="AM171" s="180">
        <v>6.6199999999999995E-2</v>
      </c>
      <c r="AN171" s="129">
        <v>5.0999999999999997E-2</v>
      </c>
      <c r="AO171" s="178">
        <v>2022</v>
      </c>
    </row>
    <row r="172" spans="14:41" x14ac:dyDescent="0.3">
      <c r="N172" s="171">
        <v>45162</v>
      </c>
      <c r="O172" s="175">
        <v>82.92</v>
      </c>
      <c r="P172" s="83">
        <v>2023</v>
      </c>
      <c r="Q172" s="83">
        <v>8</v>
      </c>
      <c r="R172" s="83" t="s">
        <v>270</v>
      </c>
      <c r="T172" s="83">
        <v>2023</v>
      </c>
      <c r="U172" s="83" t="s">
        <v>457</v>
      </c>
      <c r="V172" s="84">
        <v>13</v>
      </c>
      <c r="W172" s="85">
        <v>0.67</v>
      </c>
      <c r="X172" s="86">
        <v>0.65820000000000001</v>
      </c>
      <c r="Y172" s="86">
        <v>0.16450000000000001</v>
      </c>
      <c r="Z172" s="85">
        <v>0.45</v>
      </c>
      <c r="AA172" s="86">
        <v>5.5399999999999998E-2</v>
      </c>
      <c r="AB172" s="85">
        <v>0.47</v>
      </c>
      <c r="AC172" s="87">
        <v>0.44429999999999997</v>
      </c>
      <c r="AD172" s="86">
        <v>0.28260000000000002</v>
      </c>
      <c r="AE172" s="86">
        <v>0.28499999999999998</v>
      </c>
      <c r="AG172" s="171">
        <v>44835</v>
      </c>
      <c r="AH172" s="177">
        <v>3596</v>
      </c>
      <c r="AI172" s="181">
        <v>3.8199999999999998E-2</v>
      </c>
      <c r="AJ172" s="177">
        <v>166.5</v>
      </c>
      <c r="AK172" s="85">
        <v>183.6</v>
      </c>
      <c r="AL172" s="85">
        <v>126.1</v>
      </c>
      <c r="AM172" s="181">
        <v>6.7199999999999996E-2</v>
      </c>
      <c r="AN172" s="86">
        <v>5.2999999999999999E-2</v>
      </c>
      <c r="AO172" s="179">
        <v>2022</v>
      </c>
    </row>
    <row r="173" spans="14:41" x14ac:dyDescent="0.3">
      <c r="N173" s="170">
        <v>45163</v>
      </c>
      <c r="O173" s="174">
        <v>83.95</v>
      </c>
      <c r="P173" s="126">
        <v>2023</v>
      </c>
      <c r="Q173" s="126">
        <v>8</v>
      </c>
      <c r="R173" s="126" t="s">
        <v>270</v>
      </c>
      <c r="T173" s="126">
        <v>2023</v>
      </c>
      <c r="U173" s="126" t="s">
        <v>488</v>
      </c>
      <c r="V173" s="127">
        <v>63</v>
      </c>
      <c r="W173" s="128">
        <v>1.49</v>
      </c>
      <c r="X173" s="129">
        <v>0.19170000000000001</v>
      </c>
      <c r="Y173" s="129">
        <v>4.0899999999999999E-2</v>
      </c>
      <c r="Z173" s="128">
        <v>1.3</v>
      </c>
      <c r="AA173" s="129">
        <v>4.1200000000000001E-2</v>
      </c>
      <c r="AB173" s="128">
        <v>1.36</v>
      </c>
      <c r="AC173" s="130">
        <v>0.70250000000000001</v>
      </c>
      <c r="AD173" s="129">
        <v>0.59409999999999996</v>
      </c>
      <c r="AE173" s="129">
        <v>0.77429999999999999</v>
      </c>
      <c r="AG173" s="170">
        <v>44866</v>
      </c>
      <c r="AH173" s="176">
        <v>3872</v>
      </c>
      <c r="AI173" s="180">
        <v>4.0500000000000001E-2</v>
      </c>
      <c r="AJ173" s="176">
        <v>166.5</v>
      </c>
      <c r="AK173" s="128">
        <v>183.6</v>
      </c>
      <c r="AL173" s="128">
        <v>126.1</v>
      </c>
      <c r="AM173" s="180">
        <v>5.7500000000000002E-2</v>
      </c>
      <c r="AN173" s="129">
        <v>4.5900000000000003E-2</v>
      </c>
      <c r="AO173" s="178">
        <v>2022</v>
      </c>
    </row>
    <row r="174" spans="14:41" x14ac:dyDescent="0.3">
      <c r="N174" s="171">
        <v>45166</v>
      </c>
      <c r="O174" s="175">
        <v>83.87</v>
      </c>
      <c r="P174" s="83">
        <v>2023</v>
      </c>
      <c r="Q174" s="83">
        <v>8</v>
      </c>
      <c r="R174" s="83" t="s">
        <v>270</v>
      </c>
      <c r="T174" s="83">
        <v>2023</v>
      </c>
      <c r="U174" s="83" t="s">
        <v>458</v>
      </c>
      <c r="V174" s="84">
        <v>78</v>
      </c>
      <c r="W174" s="85">
        <v>1.48</v>
      </c>
      <c r="X174" s="86">
        <v>0.3916</v>
      </c>
      <c r="Y174" s="86">
        <v>0.1502</v>
      </c>
      <c r="Z174" s="85">
        <v>1.1399999999999999</v>
      </c>
      <c r="AA174" s="86">
        <v>0.04</v>
      </c>
      <c r="AB174" s="85">
        <v>1.19</v>
      </c>
      <c r="AC174" s="87">
        <v>0.50880000000000003</v>
      </c>
      <c r="AD174" s="86">
        <v>0.38590000000000002</v>
      </c>
      <c r="AE174" s="86">
        <v>0.22320000000000001</v>
      </c>
      <c r="AG174" s="171">
        <v>44896</v>
      </c>
      <c r="AH174" s="177">
        <v>4080</v>
      </c>
      <c r="AI174" s="181">
        <v>3.61E-2</v>
      </c>
      <c r="AJ174" s="177">
        <v>166.5</v>
      </c>
      <c r="AK174" s="85">
        <v>183.6</v>
      </c>
      <c r="AL174" s="85">
        <v>126.1</v>
      </c>
      <c r="AM174" s="181">
        <v>5.6599999999999998E-2</v>
      </c>
      <c r="AN174" s="86">
        <v>4.5499999999999999E-2</v>
      </c>
      <c r="AO174" s="179">
        <v>2022</v>
      </c>
    </row>
    <row r="175" spans="14:41" x14ac:dyDescent="0.3">
      <c r="N175" s="170">
        <v>45167</v>
      </c>
      <c r="O175" s="174">
        <v>84.91</v>
      </c>
      <c r="P175" s="126">
        <v>2023</v>
      </c>
      <c r="Q175" s="126">
        <v>8</v>
      </c>
      <c r="R175" s="126" t="s">
        <v>270</v>
      </c>
      <c r="T175" s="126">
        <v>2023</v>
      </c>
      <c r="U175" s="126" t="s">
        <v>459</v>
      </c>
      <c r="V175" s="127">
        <v>3</v>
      </c>
      <c r="W175" s="128">
        <v>0.84</v>
      </c>
      <c r="X175" s="129">
        <v>3.3033000000000001</v>
      </c>
      <c r="Y175" s="129">
        <v>0</v>
      </c>
      <c r="Z175" s="128">
        <v>0.24</v>
      </c>
      <c r="AA175" s="129">
        <v>9.9699999999999997E-2</v>
      </c>
      <c r="AB175" s="128">
        <v>0.27</v>
      </c>
      <c r="AC175" s="130">
        <v>0.45029999999999998</v>
      </c>
      <c r="AD175" s="129">
        <v>0.39789999999999998</v>
      </c>
      <c r="AE175" s="129">
        <v>0.50670000000000004</v>
      </c>
      <c r="AG175" s="170">
        <v>44927</v>
      </c>
      <c r="AH175" s="176">
        <v>3840</v>
      </c>
      <c r="AI175" s="180">
        <v>3.8800000000000001E-2</v>
      </c>
      <c r="AJ175" s="176">
        <v>179.21</v>
      </c>
      <c r="AK175" s="128">
        <v>181.66</v>
      </c>
      <c r="AL175" s="128">
        <v>147.57</v>
      </c>
      <c r="AM175" s="180">
        <v>6.4100000000000004E-2</v>
      </c>
      <c r="AN175" s="129">
        <v>5.11E-2</v>
      </c>
      <c r="AO175" s="178">
        <v>2023</v>
      </c>
    </row>
    <row r="176" spans="14:41" x14ac:dyDescent="0.3">
      <c r="N176" s="171">
        <v>45168</v>
      </c>
      <c r="O176" s="175">
        <v>85.24</v>
      </c>
      <c r="P176" s="83">
        <v>2023</v>
      </c>
      <c r="Q176" s="83">
        <v>8</v>
      </c>
      <c r="R176" s="83" t="s">
        <v>270</v>
      </c>
      <c r="T176" s="83">
        <v>2023</v>
      </c>
      <c r="U176" s="83" t="s">
        <v>460</v>
      </c>
      <c r="V176" s="84">
        <v>68</v>
      </c>
      <c r="W176" s="85">
        <v>1.61</v>
      </c>
      <c r="X176" s="86">
        <v>0.11269999999999999</v>
      </c>
      <c r="Y176" s="86">
        <v>8.1799999999999998E-2</v>
      </c>
      <c r="Z176" s="85">
        <v>1.48</v>
      </c>
      <c r="AA176" s="86">
        <v>3.3700000000000001E-2</v>
      </c>
      <c r="AB176" s="85">
        <v>1.53</v>
      </c>
      <c r="AC176" s="87">
        <v>0.48930000000000001</v>
      </c>
      <c r="AD176" s="86">
        <v>0.38400000000000001</v>
      </c>
      <c r="AE176" s="86">
        <v>0.38440000000000002</v>
      </c>
      <c r="AG176" s="171">
        <v>44958</v>
      </c>
      <c r="AH176" s="177">
        <v>4077</v>
      </c>
      <c r="AI176" s="181">
        <v>3.5200000000000002E-2</v>
      </c>
      <c r="AJ176" s="177">
        <v>179.21</v>
      </c>
      <c r="AK176" s="85">
        <v>181.66</v>
      </c>
      <c r="AL176" s="85">
        <v>147.57</v>
      </c>
      <c r="AM176" s="181">
        <v>5.9200000000000003E-2</v>
      </c>
      <c r="AN176" s="86">
        <v>4.8899999999999999E-2</v>
      </c>
      <c r="AO176" s="179">
        <v>2023</v>
      </c>
    </row>
    <row r="177" spans="14:44" x14ac:dyDescent="0.3">
      <c r="N177" s="170">
        <v>45169</v>
      </c>
      <c r="O177" s="174">
        <v>86.83</v>
      </c>
      <c r="P177" s="126">
        <v>2023</v>
      </c>
      <c r="Q177" s="126">
        <v>8</v>
      </c>
      <c r="R177" s="126" t="s">
        <v>270</v>
      </c>
      <c r="T177" s="126">
        <v>2023</v>
      </c>
      <c r="U177" s="126" t="s">
        <v>461</v>
      </c>
      <c r="V177" s="127">
        <v>30</v>
      </c>
      <c r="W177" s="128">
        <v>1.76</v>
      </c>
      <c r="X177" s="129">
        <v>0.1179</v>
      </c>
      <c r="Y177" s="129">
        <v>0.1094</v>
      </c>
      <c r="Z177" s="128">
        <v>1.61</v>
      </c>
      <c r="AA177" s="129">
        <v>4.4299999999999999E-2</v>
      </c>
      <c r="AB177" s="128">
        <v>1.69</v>
      </c>
      <c r="AC177" s="130">
        <v>0.43509999999999999</v>
      </c>
      <c r="AD177" s="129">
        <v>0.41570000000000001</v>
      </c>
      <c r="AE177" s="129">
        <v>0.68489999999999995</v>
      </c>
      <c r="AG177" s="170">
        <v>44986</v>
      </c>
      <c r="AH177" s="176">
        <v>3970</v>
      </c>
      <c r="AI177" s="180">
        <v>3.9199999999999999E-2</v>
      </c>
      <c r="AJ177" s="176">
        <v>179.21</v>
      </c>
      <c r="AK177" s="128">
        <v>181.66</v>
      </c>
      <c r="AL177" s="128">
        <v>147.57</v>
      </c>
      <c r="AM177" s="180">
        <v>5.74E-2</v>
      </c>
      <c r="AN177" s="129">
        <v>4.7800000000000002E-2</v>
      </c>
      <c r="AO177" s="178">
        <v>2023</v>
      </c>
    </row>
    <row r="178" spans="14:44" x14ac:dyDescent="0.3">
      <c r="N178" s="171">
        <v>45170</v>
      </c>
      <c r="O178" s="175">
        <v>88.55</v>
      </c>
      <c r="P178" s="83">
        <v>2023</v>
      </c>
      <c r="Q178" s="83">
        <v>9</v>
      </c>
      <c r="R178" s="83" t="s">
        <v>270</v>
      </c>
      <c r="T178" s="83">
        <v>2023</v>
      </c>
      <c r="U178" s="83" t="s">
        <v>462</v>
      </c>
      <c r="V178" s="84">
        <v>8</v>
      </c>
      <c r="W178" s="85">
        <v>0.94</v>
      </c>
      <c r="X178" s="86">
        <v>0.39019999999999999</v>
      </c>
      <c r="Y178" s="86">
        <v>6.2300000000000001E-2</v>
      </c>
      <c r="Z178" s="85">
        <v>0.73</v>
      </c>
      <c r="AA178" s="86">
        <v>6.4399999999999999E-2</v>
      </c>
      <c r="AB178" s="85">
        <v>0.78</v>
      </c>
      <c r="AC178" s="87">
        <v>0.48930000000000001</v>
      </c>
      <c r="AD178" s="86">
        <v>0.41160000000000002</v>
      </c>
      <c r="AE178" s="86">
        <v>0.83</v>
      </c>
      <c r="AG178" s="171">
        <v>44930</v>
      </c>
      <c r="AH178" s="177">
        <v>4109</v>
      </c>
      <c r="AI178" s="181">
        <v>3.4700000000000002E-2</v>
      </c>
      <c r="AJ178" s="177">
        <v>187.83</v>
      </c>
      <c r="AK178" s="85">
        <v>176.45</v>
      </c>
      <c r="AL178" s="85">
        <v>152.69999999999999</v>
      </c>
      <c r="AM178" s="181">
        <v>5.7299999999999997E-2</v>
      </c>
      <c r="AN178" s="86">
        <v>4.8800000000000003E-2</v>
      </c>
      <c r="AO178" s="179">
        <v>2023</v>
      </c>
    </row>
    <row r="179" spans="14:44" x14ac:dyDescent="0.3">
      <c r="N179" s="170">
        <v>45173</v>
      </c>
      <c r="O179" s="174">
        <v>89</v>
      </c>
      <c r="P179" s="126">
        <v>2023</v>
      </c>
      <c r="Q179" s="126">
        <v>9</v>
      </c>
      <c r="R179" s="126" t="s">
        <v>270</v>
      </c>
      <c r="T179" s="126">
        <v>2023</v>
      </c>
      <c r="U179" s="126" t="s">
        <v>463</v>
      </c>
      <c r="V179" s="127">
        <v>13</v>
      </c>
      <c r="W179" s="128">
        <v>1.33</v>
      </c>
      <c r="X179" s="129">
        <v>9.01E-2</v>
      </c>
      <c r="Y179" s="129">
        <v>0.107</v>
      </c>
      <c r="Z179" s="128">
        <v>1.24</v>
      </c>
      <c r="AA179" s="129">
        <v>3.5000000000000003E-2</v>
      </c>
      <c r="AB179" s="128">
        <v>1.29</v>
      </c>
      <c r="AC179" s="130">
        <v>0.50849999999999995</v>
      </c>
      <c r="AD179" s="129">
        <v>0.39369999999999999</v>
      </c>
      <c r="AE179" s="129">
        <v>0.28270000000000001</v>
      </c>
      <c r="AG179" s="170">
        <v>44931</v>
      </c>
      <c r="AH179" s="176">
        <v>4169</v>
      </c>
      <c r="AI179" s="180">
        <v>3.4200000000000001E-2</v>
      </c>
      <c r="AJ179" s="176">
        <v>187.83</v>
      </c>
      <c r="AK179" s="128">
        <v>176.45</v>
      </c>
      <c r="AL179" s="128">
        <v>152.69999999999999</v>
      </c>
      <c r="AM179" s="180">
        <v>5.4199999999999998E-2</v>
      </c>
      <c r="AN179" s="129">
        <v>4.7699999999999999E-2</v>
      </c>
      <c r="AO179" s="178">
        <v>2023</v>
      </c>
    </row>
    <row r="180" spans="14:44" x14ac:dyDescent="0.3">
      <c r="N180" s="171">
        <v>45174</v>
      </c>
      <c r="O180" s="175">
        <v>90.04</v>
      </c>
      <c r="P180" s="83">
        <v>2023</v>
      </c>
      <c r="Q180" s="83">
        <v>9</v>
      </c>
      <c r="R180" s="83" t="s">
        <v>270</v>
      </c>
      <c r="T180" s="83">
        <v>2023</v>
      </c>
      <c r="U180" s="83" t="s">
        <v>489</v>
      </c>
      <c r="V180" s="84">
        <v>91</v>
      </c>
      <c r="W180" s="85">
        <v>1.36</v>
      </c>
      <c r="X180" s="86">
        <v>4.8000000000000001E-2</v>
      </c>
      <c r="Y180" s="86">
        <v>3.8199999999999998E-2</v>
      </c>
      <c r="Z180" s="85">
        <v>1.32</v>
      </c>
      <c r="AA180" s="86">
        <v>3.0700000000000002E-2</v>
      </c>
      <c r="AB180" s="85">
        <v>1.36</v>
      </c>
      <c r="AC180" s="87">
        <v>0.68720000000000003</v>
      </c>
      <c r="AD180" s="86">
        <v>0.58709999999999996</v>
      </c>
      <c r="AE180" s="86">
        <v>0.69140000000000001</v>
      </c>
      <c r="AG180" s="171">
        <v>44932</v>
      </c>
      <c r="AH180" s="177">
        <v>4180</v>
      </c>
      <c r="AI180" s="181">
        <v>3.6400000000000002E-2</v>
      </c>
      <c r="AJ180" s="177">
        <v>187.83</v>
      </c>
      <c r="AK180" s="85">
        <v>176.45</v>
      </c>
      <c r="AL180" s="85">
        <v>152.69999999999999</v>
      </c>
      <c r="AM180" s="181">
        <v>5.4300000000000001E-2</v>
      </c>
      <c r="AN180" s="86">
        <v>4.65E-2</v>
      </c>
      <c r="AO180" s="179">
        <v>2023</v>
      </c>
    </row>
    <row r="181" spans="14:44" x14ac:dyDescent="0.3">
      <c r="N181" s="170">
        <v>45175</v>
      </c>
      <c r="O181" s="174">
        <v>90.6</v>
      </c>
      <c r="P181" s="126">
        <v>2023</v>
      </c>
      <c r="Q181" s="126">
        <v>9</v>
      </c>
      <c r="R181" s="126" t="s">
        <v>270</v>
      </c>
      <c r="T181" s="126">
        <v>2023</v>
      </c>
      <c r="U181" s="126" t="s">
        <v>490</v>
      </c>
      <c r="V181" s="127">
        <v>33</v>
      </c>
      <c r="W181" s="128">
        <v>1.55</v>
      </c>
      <c r="X181" s="129">
        <v>0.17660000000000001</v>
      </c>
      <c r="Y181" s="129">
        <v>2.3699999999999999E-2</v>
      </c>
      <c r="Z181" s="128">
        <v>1.37</v>
      </c>
      <c r="AA181" s="129">
        <v>3.2899999999999999E-2</v>
      </c>
      <c r="AB181" s="128">
        <v>1.42</v>
      </c>
      <c r="AC181" s="130">
        <v>0.66049999999999998</v>
      </c>
      <c r="AD181" s="129">
        <v>0.5524</v>
      </c>
      <c r="AE181" s="129">
        <v>0.91090000000000004</v>
      </c>
      <c r="AG181" s="170">
        <v>44933</v>
      </c>
      <c r="AH181" s="176">
        <v>4450</v>
      </c>
      <c r="AI181" s="180">
        <v>3.8100000000000002E-2</v>
      </c>
      <c r="AJ181" s="176">
        <v>203.42</v>
      </c>
      <c r="AK181" s="128">
        <v>171.87</v>
      </c>
      <c r="AL181" s="128">
        <v>152.36000000000001</v>
      </c>
      <c r="AM181" s="180">
        <v>7.0800000000000002E-2</v>
      </c>
      <c r="AN181" s="129">
        <v>4.5900000000000003E-2</v>
      </c>
      <c r="AO181" s="178">
        <v>2023</v>
      </c>
    </row>
    <row r="182" spans="14:44" x14ac:dyDescent="0.3">
      <c r="N182" s="171">
        <v>45176</v>
      </c>
      <c r="O182" s="175">
        <v>89.92</v>
      </c>
      <c r="P182" s="83">
        <v>2023</v>
      </c>
      <c r="Q182" s="83">
        <v>9</v>
      </c>
      <c r="R182" s="83" t="s">
        <v>270</v>
      </c>
      <c r="T182" s="83">
        <v>2023</v>
      </c>
      <c r="U182" s="83" t="s">
        <v>491</v>
      </c>
      <c r="V182" s="84">
        <v>390</v>
      </c>
      <c r="W182" s="85">
        <v>1.47</v>
      </c>
      <c r="X182" s="86">
        <v>9.3600000000000003E-2</v>
      </c>
      <c r="Y182" s="86">
        <v>3.4000000000000002E-2</v>
      </c>
      <c r="Z182" s="85">
        <v>1.37</v>
      </c>
      <c r="AA182" s="86">
        <v>2.81E-2</v>
      </c>
      <c r="AB182" s="85">
        <v>1.41</v>
      </c>
      <c r="AC182" s="87">
        <v>0.61639999999999995</v>
      </c>
      <c r="AD182" s="86">
        <v>0.52110000000000001</v>
      </c>
      <c r="AE182" s="86">
        <v>0.32240000000000002</v>
      </c>
      <c r="AG182" s="171">
        <v>44934</v>
      </c>
      <c r="AH182" s="177">
        <v>4589</v>
      </c>
      <c r="AI182" s="181">
        <v>3.9699999999999999E-2</v>
      </c>
      <c r="AJ182" s="177">
        <v>203.42</v>
      </c>
      <c r="AK182" s="85">
        <v>171.87</v>
      </c>
      <c r="AL182" s="85">
        <v>152.36000000000001</v>
      </c>
      <c r="AM182" s="181">
        <v>7.1099999999999997E-2</v>
      </c>
      <c r="AN182" s="86">
        <v>4.3799999999999999E-2</v>
      </c>
      <c r="AO182" s="179">
        <v>2023</v>
      </c>
    </row>
    <row r="183" spans="14:44" x14ac:dyDescent="0.3">
      <c r="N183" s="170">
        <v>45177</v>
      </c>
      <c r="O183" s="174">
        <v>90.65</v>
      </c>
      <c r="P183" s="126">
        <v>2023</v>
      </c>
      <c r="Q183" s="126">
        <v>9</v>
      </c>
      <c r="R183" s="126" t="s">
        <v>270</v>
      </c>
      <c r="T183" s="126">
        <v>2023</v>
      </c>
      <c r="U183" s="126" t="s">
        <v>464</v>
      </c>
      <c r="V183" s="127">
        <v>28</v>
      </c>
      <c r="W183" s="128">
        <v>1.34</v>
      </c>
      <c r="X183" s="129">
        <v>0.28599999999999998</v>
      </c>
      <c r="Y183" s="129">
        <v>0.14949999999999999</v>
      </c>
      <c r="Z183" s="128">
        <v>1.1100000000000001</v>
      </c>
      <c r="AA183" s="129">
        <v>8.8400000000000006E-2</v>
      </c>
      <c r="AB183" s="128">
        <v>1.21</v>
      </c>
      <c r="AC183" s="130">
        <v>0.39410000000000001</v>
      </c>
      <c r="AD183" s="129">
        <v>0.38300000000000001</v>
      </c>
      <c r="AE183" s="129">
        <v>1.0459000000000001</v>
      </c>
      <c r="AG183" s="170">
        <v>44935</v>
      </c>
      <c r="AH183" s="176">
        <v>4508</v>
      </c>
      <c r="AI183" s="180">
        <v>4.1099999999999998E-2</v>
      </c>
      <c r="AJ183" s="176">
        <v>203.42</v>
      </c>
      <c r="AK183" s="128">
        <v>171.87</v>
      </c>
      <c r="AL183" s="128">
        <v>152.36000000000001</v>
      </c>
      <c r="AM183" s="180">
        <v>7.1400000000000005E-2</v>
      </c>
      <c r="AN183" s="129">
        <v>4.3999999999999997E-2</v>
      </c>
      <c r="AO183" s="178">
        <v>2023</v>
      </c>
    </row>
    <row r="184" spans="14:44" x14ac:dyDescent="0.3">
      <c r="N184" s="171">
        <v>45180</v>
      </c>
      <c r="O184" s="175">
        <v>90.64</v>
      </c>
      <c r="P184" s="83">
        <v>2023</v>
      </c>
      <c r="Q184" s="83">
        <v>9</v>
      </c>
      <c r="R184" s="83" t="s">
        <v>270</v>
      </c>
      <c r="T184" s="83">
        <v>2023</v>
      </c>
      <c r="U184" s="83" t="s">
        <v>465</v>
      </c>
      <c r="V184" s="84">
        <v>16</v>
      </c>
      <c r="W184" s="85">
        <v>1.03</v>
      </c>
      <c r="X184" s="86">
        <v>0.65149999999999997</v>
      </c>
      <c r="Y184" s="86">
        <v>3.8300000000000001E-2</v>
      </c>
      <c r="Z184" s="85">
        <v>0.69</v>
      </c>
      <c r="AA184" s="86">
        <v>2.64E-2</v>
      </c>
      <c r="AB184" s="85">
        <v>0.71</v>
      </c>
      <c r="AC184" s="87">
        <v>0.57250000000000001</v>
      </c>
      <c r="AD184" s="86">
        <v>0.51919999999999999</v>
      </c>
      <c r="AE184" s="86">
        <v>0.6946</v>
      </c>
      <c r="AG184" s="171">
        <v>44936</v>
      </c>
      <c r="AH184" s="177">
        <v>4288</v>
      </c>
      <c r="AI184" s="181">
        <v>4.58E-2</v>
      </c>
      <c r="AJ184" s="177">
        <v>196</v>
      </c>
      <c r="AK184" s="85">
        <v>166.82</v>
      </c>
      <c r="AL184" s="85">
        <v>152.97999999999999</v>
      </c>
      <c r="AM184" s="181">
        <v>7.6300000000000007E-2</v>
      </c>
      <c r="AN184" s="86">
        <v>4.4699999999999997E-2</v>
      </c>
      <c r="AO184" s="179">
        <v>2023</v>
      </c>
    </row>
    <row r="185" spans="14:44" x14ac:dyDescent="0.3">
      <c r="N185" s="170">
        <v>45181</v>
      </c>
      <c r="O185" s="174">
        <v>91.33</v>
      </c>
      <c r="P185" s="126">
        <v>2023</v>
      </c>
      <c r="Q185" s="126">
        <v>9</v>
      </c>
      <c r="R185" s="126" t="s">
        <v>270</v>
      </c>
      <c r="T185" s="126">
        <v>2023</v>
      </c>
      <c r="U185" s="126" t="s">
        <v>503</v>
      </c>
      <c r="V185" s="127">
        <v>79</v>
      </c>
      <c r="W185" s="128">
        <v>1.23</v>
      </c>
      <c r="X185" s="129">
        <v>0.1168</v>
      </c>
      <c r="Y185" s="129">
        <v>4.0599999999999997E-2</v>
      </c>
      <c r="Z185" s="128">
        <v>1.1299999999999999</v>
      </c>
      <c r="AA185" s="129">
        <v>3.7900000000000003E-2</v>
      </c>
      <c r="AB185" s="128">
        <v>1.18</v>
      </c>
      <c r="AC185" s="130">
        <v>0.52729999999999999</v>
      </c>
      <c r="AD185" s="129">
        <v>0.41349999999999998</v>
      </c>
      <c r="AE185" s="129">
        <v>0.1361</v>
      </c>
      <c r="AG185" s="170">
        <v>44937</v>
      </c>
      <c r="AH185" s="176">
        <v>4194</v>
      </c>
      <c r="AI185" s="180">
        <v>4.9299999999999997E-2</v>
      </c>
      <c r="AJ185" s="176">
        <v>196</v>
      </c>
      <c r="AK185" s="128">
        <v>166.82</v>
      </c>
      <c r="AL185" s="128">
        <v>152.97999999999999</v>
      </c>
      <c r="AM185" s="180">
        <v>7.5800000000000006E-2</v>
      </c>
      <c r="AN185" s="129">
        <v>4.3900000000000002E-2</v>
      </c>
      <c r="AO185" s="178">
        <v>2023</v>
      </c>
    </row>
    <row r="186" spans="14:44" x14ac:dyDescent="0.3">
      <c r="N186" s="171">
        <v>45182</v>
      </c>
      <c r="O186" s="175">
        <v>91.2</v>
      </c>
      <c r="P186" s="83">
        <v>2023</v>
      </c>
      <c r="Q186" s="83">
        <v>9</v>
      </c>
      <c r="R186" s="83" t="s">
        <v>270</v>
      </c>
      <c r="T186" s="83">
        <v>2023</v>
      </c>
      <c r="U186" s="83" t="s">
        <v>504</v>
      </c>
      <c r="V186" s="84">
        <v>49</v>
      </c>
      <c r="W186" s="85">
        <v>0.88</v>
      </c>
      <c r="X186" s="86">
        <v>1.1772</v>
      </c>
      <c r="Y186" s="86">
        <v>6.54E-2</v>
      </c>
      <c r="Z186" s="85">
        <v>0.47</v>
      </c>
      <c r="AA186" s="86">
        <v>1.1299999999999999E-2</v>
      </c>
      <c r="AB186" s="85">
        <v>0.47</v>
      </c>
      <c r="AC186" s="87">
        <v>0.5554</v>
      </c>
      <c r="AD186" s="86">
        <v>0.55369999999999997</v>
      </c>
      <c r="AE186" s="86">
        <v>0.22220000000000001</v>
      </c>
      <c r="AG186" s="171">
        <v>44938</v>
      </c>
      <c r="AH186" s="177">
        <v>4568</v>
      </c>
      <c r="AI186" s="181">
        <v>4.3299999999999998E-2</v>
      </c>
      <c r="AJ186" s="177">
        <v>196</v>
      </c>
      <c r="AK186" s="85">
        <v>166.82</v>
      </c>
      <c r="AL186" s="85">
        <v>152.97999999999999</v>
      </c>
      <c r="AM186" s="181">
        <v>7.3200000000000001E-2</v>
      </c>
      <c r="AN186" s="86">
        <v>4.2500000000000003E-2</v>
      </c>
      <c r="AO186" s="179">
        <v>2023</v>
      </c>
    </row>
    <row r="187" spans="14:44" x14ac:dyDescent="0.3">
      <c r="N187" s="170">
        <v>45183</v>
      </c>
      <c r="O187" s="174">
        <v>92.94</v>
      </c>
      <c r="P187" s="126">
        <v>2023</v>
      </c>
      <c r="Q187" s="126">
        <v>9</v>
      </c>
      <c r="R187" s="126" t="s">
        <v>270</v>
      </c>
      <c r="T187" s="126">
        <v>2023</v>
      </c>
      <c r="U187" s="126" t="s">
        <v>468</v>
      </c>
      <c r="V187" s="127">
        <v>15</v>
      </c>
      <c r="W187" s="128">
        <v>2</v>
      </c>
      <c r="X187" s="129">
        <v>0.24060000000000001</v>
      </c>
      <c r="Y187" s="129">
        <v>9.8299999999999998E-2</v>
      </c>
      <c r="Z187" s="128">
        <v>1.69</v>
      </c>
      <c r="AA187" s="129">
        <v>2.8400000000000002E-2</v>
      </c>
      <c r="AB187" s="128">
        <v>1.74</v>
      </c>
      <c r="AC187" s="130">
        <v>0.60629999999999995</v>
      </c>
      <c r="AD187" s="129">
        <v>0.44059999999999999</v>
      </c>
      <c r="AE187" s="129">
        <v>7.6999999999999999E-2</v>
      </c>
      <c r="AG187" s="170">
        <v>45292</v>
      </c>
      <c r="AH187" s="176">
        <v>4770</v>
      </c>
      <c r="AI187" s="180">
        <v>3.8800000000000001E-2</v>
      </c>
      <c r="AJ187" s="176">
        <v>218.02</v>
      </c>
      <c r="AK187" s="128">
        <v>164.25</v>
      </c>
      <c r="AL187" s="128">
        <v>153.13999999999999</v>
      </c>
      <c r="AM187" s="180">
        <v>8.7400000000000005E-2</v>
      </c>
      <c r="AN187" s="129">
        <v>4.5699999999999998E-2</v>
      </c>
      <c r="AO187" s="178">
        <v>2024</v>
      </c>
    </row>
    <row r="188" spans="14:44" x14ac:dyDescent="0.3">
      <c r="N188" s="171">
        <v>45184</v>
      </c>
      <c r="O188" s="175">
        <v>93.04</v>
      </c>
      <c r="P188" s="83">
        <v>2023</v>
      </c>
      <c r="Q188" s="83">
        <v>9</v>
      </c>
      <c r="R188" s="83" t="s">
        <v>270</v>
      </c>
      <c r="T188" s="83">
        <v>2023</v>
      </c>
      <c r="U188" s="83" t="s">
        <v>492</v>
      </c>
      <c r="V188" s="84">
        <v>18</v>
      </c>
      <c r="W188" s="85">
        <v>1.06</v>
      </c>
      <c r="X188" s="86">
        <v>0.29509999999999997</v>
      </c>
      <c r="Y188" s="86">
        <v>0.16389999999999999</v>
      </c>
      <c r="Z188" s="85">
        <v>0.87</v>
      </c>
      <c r="AA188" s="86">
        <v>6.2799999999999995E-2</v>
      </c>
      <c r="AB188" s="85">
        <v>0.92</v>
      </c>
      <c r="AC188" s="87">
        <v>0.47889999999999999</v>
      </c>
      <c r="AD188" s="86">
        <v>0.28050000000000003</v>
      </c>
      <c r="AE188" s="86">
        <v>0.26960000000000001</v>
      </c>
      <c r="AG188" s="171">
        <v>45323</v>
      </c>
      <c r="AH188" s="177">
        <v>4846</v>
      </c>
      <c r="AI188" s="181">
        <v>3.9399999999999998E-2</v>
      </c>
      <c r="AJ188" s="177">
        <v>218.02</v>
      </c>
      <c r="AK188" s="85">
        <v>164.25</v>
      </c>
      <c r="AL188" s="85">
        <v>153.13999999999999</v>
      </c>
      <c r="AM188" s="181">
        <v>8.5300000000000001E-2</v>
      </c>
      <c r="AN188" s="86">
        <v>4.4499999999999998E-2</v>
      </c>
      <c r="AO188" s="179">
        <v>2024</v>
      </c>
      <c r="AP188" s="243"/>
      <c r="AQ188" s="243"/>
      <c r="AR188" s="243"/>
    </row>
    <row r="189" spans="14:44" x14ac:dyDescent="0.3">
      <c r="N189" s="170">
        <v>45187</v>
      </c>
      <c r="O189" s="174">
        <v>93.29</v>
      </c>
      <c r="P189" s="126">
        <v>2023</v>
      </c>
      <c r="Q189" s="126">
        <v>9</v>
      </c>
      <c r="R189" s="126" t="s">
        <v>270</v>
      </c>
      <c r="T189" s="126">
        <v>2023</v>
      </c>
      <c r="U189" s="126" t="s">
        <v>493</v>
      </c>
      <c r="V189" s="127">
        <v>4</v>
      </c>
      <c r="W189" s="128">
        <v>1.1100000000000001</v>
      </c>
      <c r="X189" s="129">
        <v>0.27450000000000002</v>
      </c>
      <c r="Y189" s="129">
        <v>0.16569999999999999</v>
      </c>
      <c r="Z189" s="128">
        <v>0.92</v>
      </c>
      <c r="AA189" s="129">
        <v>1.47E-2</v>
      </c>
      <c r="AB189" s="128">
        <v>0.93</v>
      </c>
      <c r="AC189" s="130">
        <v>0.22720000000000001</v>
      </c>
      <c r="AD189" s="129">
        <v>0.16339999999999999</v>
      </c>
      <c r="AE189" s="129">
        <v>0.1181</v>
      </c>
      <c r="AG189" s="170">
        <v>45352</v>
      </c>
      <c r="AH189" s="176">
        <v>5096</v>
      </c>
      <c r="AI189" s="180">
        <v>4.2700000000000002E-2</v>
      </c>
      <c r="AJ189" s="176">
        <v>218.02</v>
      </c>
      <c r="AK189" s="128">
        <v>164.25</v>
      </c>
      <c r="AL189" s="128">
        <v>153.13999999999999</v>
      </c>
      <c r="AM189" s="180">
        <v>8.8999999999999996E-2</v>
      </c>
      <c r="AN189" s="129">
        <v>4.1799999999999997E-2</v>
      </c>
      <c r="AO189" s="178">
        <v>2024</v>
      </c>
      <c r="AP189" s="243"/>
      <c r="AQ189" s="243"/>
      <c r="AR189" s="243"/>
    </row>
    <row r="190" spans="14:44" x14ac:dyDescent="0.3">
      <c r="N190" s="171">
        <v>45188</v>
      </c>
      <c r="O190" s="175">
        <v>93.14</v>
      </c>
      <c r="P190" s="83">
        <v>2023</v>
      </c>
      <c r="Q190" s="83">
        <v>9</v>
      </c>
      <c r="R190" s="83" t="s">
        <v>270</v>
      </c>
      <c r="T190" s="83">
        <v>2023</v>
      </c>
      <c r="U190" s="83" t="s">
        <v>469</v>
      </c>
      <c r="V190" s="84">
        <v>35</v>
      </c>
      <c r="W190" s="85">
        <v>1.55</v>
      </c>
      <c r="X190" s="86">
        <v>0.43909999999999999</v>
      </c>
      <c r="Y190" s="86">
        <v>0.1479</v>
      </c>
      <c r="Z190" s="85">
        <v>1.1599999999999999</v>
      </c>
      <c r="AA190" s="86">
        <v>5.7200000000000001E-2</v>
      </c>
      <c r="AB190" s="85">
        <v>1.23</v>
      </c>
      <c r="AC190" s="87">
        <v>0.44579999999999997</v>
      </c>
      <c r="AD190" s="86">
        <v>0.41170000000000001</v>
      </c>
      <c r="AE190" s="86">
        <v>1.5004</v>
      </c>
      <c r="AG190" s="76"/>
    </row>
    <row r="191" spans="14:44" x14ac:dyDescent="0.3">
      <c r="N191" s="170">
        <v>45189</v>
      </c>
      <c r="O191" s="174">
        <v>92.35</v>
      </c>
      <c r="P191" s="126">
        <v>2023</v>
      </c>
      <c r="Q191" s="126">
        <v>9</v>
      </c>
      <c r="R191" s="126" t="s">
        <v>270</v>
      </c>
      <c r="T191" s="126">
        <v>2023</v>
      </c>
      <c r="U191" s="126" t="s">
        <v>470</v>
      </c>
      <c r="V191" s="127">
        <v>15</v>
      </c>
      <c r="W191" s="128">
        <v>0.64</v>
      </c>
      <c r="X191" s="129">
        <v>0.74180000000000001</v>
      </c>
      <c r="Y191" s="129">
        <v>0.13200000000000001</v>
      </c>
      <c r="Z191" s="128">
        <v>0.41</v>
      </c>
      <c r="AA191" s="129">
        <v>3.3E-3</v>
      </c>
      <c r="AB191" s="128">
        <v>0.41</v>
      </c>
      <c r="AC191" s="130">
        <v>0.15609999999999999</v>
      </c>
      <c r="AD191" s="129">
        <v>0.1497</v>
      </c>
      <c r="AE191" s="129">
        <v>9.3600000000000003E-2</v>
      </c>
      <c r="AG191" s="244"/>
      <c r="AH191" s="245"/>
      <c r="AI191" s="246"/>
      <c r="AJ191" s="245"/>
      <c r="AK191" s="245"/>
      <c r="AL191" s="245"/>
      <c r="AM191" s="246"/>
      <c r="AN191" s="246"/>
      <c r="AO191" s="246"/>
      <c r="AP191" s="246"/>
      <c r="AQ191" s="246"/>
      <c r="AR191" s="246"/>
    </row>
    <row r="192" spans="14:44" x14ac:dyDescent="0.3">
      <c r="N192" s="171">
        <v>45190</v>
      </c>
      <c r="O192" s="175">
        <v>92.26</v>
      </c>
      <c r="P192" s="83">
        <v>2023</v>
      </c>
      <c r="Q192" s="83">
        <v>9</v>
      </c>
      <c r="R192" s="83" t="s">
        <v>270</v>
      </c>
      <c r="T192" s="83">
        <v>2023</v>
      </c>
      <c r="U192" s="83" t="s">
        <v>471</v>
      </c>
      <c r="V192" s="84">
        <v>16</v>
      </c>
      <c r="W192" s="85">
        <v>1.1499999999999999</v>
      </c>
      <c r="X192" s="86">
        <v>0.434</v>
      </c>
      <c r="Y192" s="86">
        <v>8.4500000000000006E-2</v>
      </c>
      <c r="Z192" s="85">
        <v>0.87</v>
      </c>
      <c r="AA192" s="86">
        <v>3.5000000000000001E-3</v>
      </c>
      <c r="AB192" s="85">
        <v>0.87</v>
      </c>
      <c r="AC192" s="87">
        <v>0.36549999999999999</v>
      </c>
      <c r="AD192" s="86">
        <v>0.41370000000000001</v>
      </c>
      <c r="AE192" s="86">
        <v>0.13750000000000001</v>
      </c>
      <c r="AG192" s="76"/>
    </row>
    <row r="193" spans="14:33" x14ac:dyDescent="0.3">
      <c r="N193" s="170">
        <v>45191</v>
      </c>
      <c r="O193" s="174">
        <v>91.96</v>
      </c>
      <c r="P193" s="126">
        <v>2023</v>
      </c>
      <c r="Q193" s="126">
        <v>9</v>
      </c>
      <c r="R193" s="126" t="s">
        <v>270</v>
      </c>
      <c r="T193" s="126">
        <v>2023</v>
      </c>
      <c r="U193" s="126" t="s">
        <v>472</v>
      </c>
      <c r="V193" s="127">
        <v>7165</v>
      </c>
      <c r="W193" s="128">
        <v>1.1599999999999999</v>
      </c>
      <c r="X193" s="129">
        <v>0.53520000000000001</v>
      </c>
      <c r="Y193" s="129">
        <v>7.5200000000000003E-2</v>
      </c>
      <c r="Z193" s="128">
        <v>0.83</v>
      </c>
      <c r="AA193" s="129">
        <v>6.6600000000000006E-2</v>
      </c>
      <c r="AB193" s="128">
        <v>0.88</v>
      </c>
      <c r="AC193" s="130">
        <v>0.48320000000000002</v>
      </c>
      <c r="AD193" s="129">
        <v>0.41370000000000001</v>
      </c>
      <c r="AE193" s="129">
        <v>0.19009999999999999</v>
      </c>
      <c r="AG193" s="76"/>
    </row>
    <row r="194" spans="14:33" x14ac:dyDescent="0.3">
      <c r="N194" s="171">
        <v>45194</v>
      </c>
      <c r="O194" s="175">
        <v>91.88</v>
      </c>
      <c r="P194" s="83">
        <v>2023</v>
      </c>
      <c r="Q194" s="83">
        <v>9</v>
      </c>
      <c r="R194" s="83" t="s">
        <v>270</v>
      </c>
      <c r="T194" s="83">
        <v>2023</v>
      </c>
      <c r="U194" s="83" t="s">
        <v>495</v>
      </c>
      <c r="V194" s="84">
        <v>5649</v>
      </c>
      <c r="W194" s="85">
        <v>1.29</v>
      </c>
      <c r="X194" s="86">
        <v>0.26400000000000001</v>
      </c>
      <c r="Y194" s="86">
        <v>6.3799999999999996E-2</v>
      </c>
      <c r="Z194" s="85">
        <v>1.08</v>
      </c>
      <c r="AA194" s="86">
        <v>3.7499999999999999E-2</v>
      </c>
      <c r="AB194" s="85"/>
      <c r="AC194" s="87"/>
      <c r="AD194" s="86"/>
      <c r="AE194" s="86"/>
      <c r="AG194" s="76"/>
    </row>
    <row r="195" spans="14:33" x14ac:dyDescent="0.3">
      <c r="N195" s="170">
        <v>45195</v>
      </c>
      <c r="O195" s="174">
        <v>92.43</v>
      </c>
      <c r="P195" s="126">
        <v>2023</v>
      </c>
      <c r="Q195" s="126">
        <v>9</v>
      </c>
      <c r="R195" s="126" t="s">
        <v>270</v>
      </c>
      <c r="T195" s="126">
        <v>2024</v>
      </c>
      <c r="U195" s="126" t="s">
        <v>400</v>
      </c>
      <c r="V195" s="127">
        <v>58</v>
      </c>
      <c r="W195" s="128">
        <v>1.6317380595347237</v>
      </c>
      <c r="X195" s="129">
        <v>0.44988944828853072</v>
      </c>
      <c r="Y195" s="129">
        <v>6.3905088196058474E-2</v>
      </c>
      <c r="Z195" s="128">
        <v>-1.7948418859016913E-3</v>
      </c>
      <c r="AA195" s="129">
        <v>9.3488853578428122E-2</v>
      </c>
      <c r="AB195" s="128">
        <v>-1.9799446404898395E-3</v>
      </c>
      <c r="AC195" s="130">
        <v>0.68674540200942169</v>
      </c>
      <c r="AD195" s="129">
        <v>0.52722114455333013</v>
      </c>
      <c r="AE195" s="129">
        <v>0.14396894009718411</v>
      </c>
      <c r="AG195" s="76"/>
    </row>
    <row r="196" spans="14:33" x14ac:dyDescent="0.3">
      <c r="N196" s="171">
        <v>45196</v>
      </c>
      <c r="O196" s="175">
        <v>94.36</v>
      </c>
      <c r="P196" s="83">
        <v>2023</v>
      </c>
      <c r="Q196" s="83">
        <v>9</v>
      </c>
      <c r="R196" s="83" t="s">
        <v>270</v>
      </c>
      <c r="T196" s="83">
        <v>2024</v>
      </c>
      <c r="U196" s="83" t="s">
        <v>401</v>
      </c>
      <c r="V196" s="84">
        <v>77</v>
      </c>
      <c r="W196" s="85">
        <v>1.4141822802591859</v>
      </c>
      <c r="X196" s="86">
        <v>0.26057120698012032</v>
      </c>
      <c r="Y196" s="86">
        <v>8.602766440767734E-2</v>
      </c>
      <c r="Z196" s="85">
        <v>-2.6878667971285144E-3</v>
      </c>
      <c r="AA196" s="86">
        <v>3.7667223768941376E-2</v>
      </c>
      <c r="AB196" s="85">
        <v>-2.7930741459887163E-3</v>
      </c>
      <c r="AC196" s="87">
        <v>0.47207385668758833</v>
      </c>
      <c r="AD196" s="86">
        <v>0.3755554495377183</v>
      </c>
      <c r="AE196" s="86">
        <v>0.19186738783955246</v>
      </c>
      <c r="AG196" s="76"/>
    </row>
    <row r="197" spans="14:33" x14ac:dyDescent="0.3">
      <c r="N197" s="170">
        <v>45197</v>
      </c>
      <c r="O197" s="174">
        <v>93.1</v>
      </c>
      <c r="P197" s="126">
        <v>2023</v>
      </c>
      <c r="Q197" s="126">
        <v>9</v>
      </c>
      <c r="R197" s="126" t="s">
        <v>270</v>
      </c>
      <c r="T197" s="126">
        <v>2024</v>
      </c>
      <c r="U197" s="126" t="s">
        <v>402</v>
      </c>
      <c r="V197" s="127">
        <v>21</v>
      </c>
      <c r="W197" s="128">
        <v>1.4159650876966507</v>
      </c>
      <c r="X197" s="129">
        <v>1.8633437109872604</v>
      </c>
      <c r="Y197" s="129">
        <v>0.10471812677937932</v>
      </c>
      <c r="Z197" s="128">
        <v>-3.7573263433016287E-4</v>
      </c>
      <c r="AA197" s="129">
        <v>0.14899071469326405</v>
      </c>
      <c r="AB197" s="128">
        <v>-4.4151414187535527E-4</v>
      </c>
      <c r="AC197" s="130">
        <v>0.44026952881288556</v>
      </c>
      <c r="AD197" s="129">
        <v>0.37727498727802966</v>
      </c>
      <c r="AE197" s="129">
        <v>2.2120098410672444</v>
      </c>
      <c r="AG197" s="76"/>
    </row>
    <row r="198" spans="14:33" x14ac:dyDescent="0.3">
      <c r="N198" s="171">
        <v>45198</v>
      </c>
      <c r="O198" s="175">
        <v>92.2</v>
      </c>
      <c r="P198" s="83">
        <v>2023</v>
      </c>
      <c r="Q198" s="83">
        <v>9</v>
      </c>
      <c r="R198" s="83" t="s">
        <v>270</v>
      </c>
      <c r="T198" s="83">
        <v>2024</v>
      </c>
      <c r="U198" s="83" t="s">
        <v>403</v>
      </c>
      <c r="V198" s="84">
        <v>39</v>
      </c>
      <c r="W198" s="85">
        <v>1.3246974025641622</v>
      </c>
      <c r="X198" s="86">
        <v>0.5157235161320588</v>
      </c>
      <c r="Y198" s="86">
        <v>0.12038118261958633</v>
      </c>
      <c r="Z198" s="85">
        <v>-1.2709262013330578E-3</v>
      </c>
      <c r="AA198" s="86">
        <v>6.0170317847693479E-2</v>
      </c>
      <c r="AB198" s="85">
        <v>-1.352294171452966E-3</v>
      </c>
      <c r="AC198" s="87">
        <v>0.52198327117155274</v>
      </c>
      <c r="AD198" s="86">
        <v>0.38508746928890447</v>
      </c>
      <c r="AE198" s="86">
        <v>0.23018170002537106</v>
      </c>
      <c r="AG198" s="76"/>
    </row>
    <row r="199" spans="14:33" x14ac:dyDescent="0.3">
      <c r="N199" s="170">
        <v>45201</v>
      </c>
      <c r="O199" s="174">
        <v>90.71</v>
      </c>
      <c r="P199" s="126">
        <v>2023</v>
      </c>
      <c r="Q199" s="126">
        <v>10</v>
      </c>
      <c r="R199" s="126" t="s">
        <v>271</v>
      </c>
      <c r="T199" s="126">
        <v>2024</v>
      </c>
      <c r="U199" s="126" t="s">
        <v>404</v>
      </c>
      <c r="V199" s="127">
        <v>31</v>
      </c>
      <c r="W199" s="128">
        <v>1.5405976750533805</v>
      </c>
      <c r="X199" s="129">
        <v>0.50190983747582518</v>
      </c>
      <c r="Y199" s="129">
        <v>2.9973504818388647E-2</v>
      </c>
      <c r="Z199" s="128">
        <v>-1.5187824890504694E-3</v>
      </c>
      <c r="AA199" s="129">
        <v>8.6707773582228378E-2</v>
      </c>
      <c r="AB199" s="128">
        <v>-1.6629753819405941E-3</v>
      </c>
      <c r="AC199" s="130">
        <v>0.69063526244432694</v>
      </c>
      <c r="AD199" s="129">
        <v>0.52614124875248369</v>
      </c>
      <c r="AE199" s="129">
        <v>0.46096910367745508</v>
      </c>
      <c r="AG199" s="76"/>
    </row>
    <row r="200" spans="14:33" x14ac:dyDescent="0.3">
      <c r="N200" s="171">
        <v>45202</v>
      </c>
      <c r="O200" s="175">
        <v>90.92</v>
      </c>
      <c r="P200" s="83">
        <v>2023</v>
      </c>
      <c r="Q200" s="83">
        <v>10</v>
      </c>
      <c r="R200" s="83" t="s">
        <v>271</v>
      </c>
      <c r="T200" s="83">
        <v>2024</v>
      </c>
      <c r="U200" s="83" t="s">
        <v>405</v>
      </c>
      <c r="V200" s="84">
        <v>37</v>
      </c>
      <c r="W200" s="85">
        <v>1.4739918130238336</v>
      </c>
      <c r="X200" s="86">
        <v>0.4265540414760251</v>
      </c>
      <c r="Y200" s="86">
        <v>9.2966768218859283E-2</v>
      </c>
      <c r="Z200" s="85">
        <v>-1.710128342392869E-3</v>
      </c>
      <c r="AA200" s="86">
        <v>7.1275726876243464E-2</v>
      </c>
      <c r="AB200" s="85">
        <v>-1.8413735829697509E-3</v>
      </c>
      <c r="AC200" s="87">
        <v>0.50992876403924647</v>
      </c>
      <c r="AD200" s="86">
        <v>0.39519394771296495</v>
      </c>
      <c r="AE200" s="86">
        <v>0.25416812415110307</v>
      </c>
      <c r="AG200" s="76"/>
    </row>
    <row r="201" spans="14:33" x14ac:dyDescent="0.3">
      <c r="N201" s="170">
        <v>45203</v>
      </c>
      <c r="O201" s="174">
        <v>85.81</v>
      </c>
      <c r="P201" s="126">
        <v>2023</v>
      </c>
      <c r="Q201" s="126">
        <v>10</v>
      </c>
      <c r="R201" s="126" t="s">
        <v>271</v>
      </c>
      <c r="T201" s="126">
        <v>2024</v>
      </c>
      <c r="U201" s="126" t="s">
        <v>474</v>
      </c>
      <c r="V201" s="127">
        <v>7</v>
      </c>
      <c r="W201" s="128">
        <v>1.0801015876287672</v>
      </c>
      <c r="X201" s="129">
        <v>2.1638477432836223</v>
      </c>
      <c r="Y201" s="129">
        <v>0.16253159242370313</v>
      </c>
      <c r="Z201" s="128">
        <v>-2.4679777816382406E-4</v>
      </c>
      <c r="AA201" s="129">
        <v>0.44301926004171199</v>
      </c>
      <c r="AB201" s="128">
        <v>-4.4309930390466751E-4</v>
      </c>
      <c r="AC201" s="130">
        <v>0.22354726306204947</v>
      </c>
      <c r="AD201" s="129">
        <v>0.19594323414619666</v>
      </c>
      <c r="AE201" s="129" t="s">
        <v>496</v>
      </c>
      <c r="AG201" s="76"/>
    </row>
    <row r="202" spans="14:33" x14ac:dyDescent="0.3">
      <c r="N202" s="171">
        <v>45204</v>
      </c>
      <c r="O202" s="175">
        <v>84.07</v>
      </c>
      <c r="P202" s="83">
        <v>2023</v>
      </c>
      <c r="Q202" s="83">
        <v>10</v>
      </c>
      <c r="R202" s="83" t="s">
        <v>271</v>
      </c>
      <c r="T202" s="83">
        <v>2024</v>
      </c>
      <c r="U202" s="83" t="s">
        <v>406</v>
      </c>
      <c r="V202" s="84">
        <v>557</v>
      </c>
      <c r="W202" s="85">
        <v>0.50487423475647786</v>
      </c>
      <c r="X202" s="86">
        <v>0.64619811083770839</v>
      </c>
      <c r="Y202" s="86">
        <v>0.18838462629709835</v>
      </c>
      <c r="Z202" s="85">
        <v>-3.8650399382781145E-4</v>
      </c>
      <c r="AA202" s="86">
        <v>0.1765640030797172</v>
      </c>
      <c r="AB202" s="85">
        <v>-4.6937952102333105E-4</v>
      </c>
      <c r="AC202" s="87">
        <v>0.17565142557211211</v>
      </c>
      <c r="AD202" s="86">
        <v>0.16758082918349013</v>
      </c>
      <c r="AE202" s="86">
        <v>0.95491634941234516</v>
      </c>
      <c r="AG202" s="76"/>
    </row>
    <row r="203" spans="14:33" x14ac:dyDescent="0.3">
      <c r="N203" s="170">
        <v>45205</v>
      </c>
      <c r="O203" s="174">
        <v>84.58</v>
      </c>
      <c r="P203" s="126">
        <v>2023</v>
      </c>
      <c r="Q203" s="126">
        <v>10</v>
      </c>
      <c r="R203" s="126" t="s">
        <v>271</v>
      </c>
      <c r="T203" s="126">
        <v>2024</v>
      </c>
      <c r="U203" s="126" t="s">
        <v>407</v>
      </c>
      <c r="V203" s="127">
        <v>23</v>
      </c>
      <c r="W203" s="128">
        <v>1.0129742331996445</v>
      </c>
      <c r="X203" s="129">
        <v>0.22909687972770462</v>
      </c>
      <c r="Y203" s="129">
        <v>9.3937841767617533E-2</v>
      </c>
      <c r="Z203" s="128">
        <v>-2.1903898477612545E-3</v>
      </c>
      <c r="AA203" s="129">
        <v>1.8550558673249666E-2</v>
      </c>
      <c r="AB203" s="128">
        <v>-2.231790814206614E-3</v>
      </c>
      <c r="AC203" s="130">
        <v>0.58705825859902261</v>
      </c>
      <c r="AD203" s="129">
        <v>0.49874676442989341</v>
      </c>
      <c r="AE203" s="129">
        <v>0.33799560403248413</v>
      </c>
      <c r="AG203" s="76"/>
    </row>
    <row r="204" spans="14:33" x14ac:dyDescent="0.3">
      <c r="N204" s="171">
        <v>45208</v>
      </c>
      <c r="O204" s="175">
        <v>88.15</v>
      </c>
      <c r="P204" s="83">
        <v>2023</v>
      </c>
      <c r="Q204" s="83">
        <v>10</v>
      </c>
      <c r="R204" s="83" t="s">
        <v>271</v>
      </c>
      <c r="T204" s="83">
        <v>2024</v>
      </c>
      <c r="U204" s="83" t="s">
        <v>475</v>
      </c>
      <c r="V204" s="84">
        <v>31</v>
      </c>
      <c r="W204" s="85">
        <v>1.3034433070435496</v>
      </c>
      <c r="X204" s="86">
        <v>0.1526904463074982</v>
      </c>
      <c r="Y204" s="86">
        <v>6.4164664471146424E-2</v>
      </c>
      <c r="Z204" s="85">
        <v>-4.2334326163325376E-3</v>
      </c>
      <c r="AA204" s="86">
        <v>2.655230937298967E-2</v>
      </c>
      <c r="AB204" s="85">
        <v>-4.3489061169848051E-3</v>
      </c>
      <c r="AC204" s="87">
        <v>0.61052132144061366</v>
      </c>
      <c r="AD204" s="86">
        <v>0.41717146856964005</v>
      </c>
      <c r="AE204" s="86">
        <v>9.3564845497937574E-2</v>
      </c>
      <c r="AG204" s="76"/>
    </row>
    <row r="205" spans="14:33" x14ac:dyDescent="0.3">
      <c r="N205" s="170">
        <v>45209</v>
      </c>
      <c r="O205" s="174">
        <v>87.65</v>
      </c>
      <c r="P205" s="126">
        <v>2023</v>
      </c>
      <c r="Q205" s="126">
        <v>10</v>
      </c>
      <c r="R205" s="126" t="s">
        <v>271</v>
      </c>
      <c r="T205" s="126">
        <v>2024</v>
      </c>
      <c r="U205" s="126" t="s">
        <v>408</v>
      </c>
      <c r="V205" s="127">
        <v>26</v>
      </c>
      <c r="W205" s="128">
        <v>1.3220586425472229</v>
      </c>
      <c r="X205" s="129">
        <v>1.4683207619722523</v>
      </c>
      <c r="Y205" s="129">
        <v>0.15763232212904729</v>
      </c>
      <c r="Z205" s="128">
        <v>-4.452256006205135E-4</v>
      </c>
      <c r="AA205" s="129">
        <v>0.10393630501139743</v>
      </c>
      <c r="AB205" s="128">
        <v>-4.9686825067293513E-4</v>
      </c>
      <c r="AC205" s="130">
        <v>0.55839204502628303</v>
      </c>
      <c r="AD205" s="129">
        <v>0.468984145587513</v>
      </c>
      <c r="AE205" s="129">
        <v>0.3165910010704478</v>
      </c>
      <c r="AG205" s="76"/>
    </row>
    <row r="206" spans="14:33" x14ac:dyDescent="0.3">
      <c r="N206" s="171">
        <v>45210</v>
      </c>
      <c r="O206" s="175">
        <v>85.82</v>
      </c>
      <c r="P206" s="83">
        <v>2023</v>
      </c>
      <c r="Q206" s="83">
        <v>10</v>
      </c>
      <c r="R206" s="83" t="s">
        <v>271</v>
      </c>
      <c r="T206" s="83">
        <v>2024</v>
      </c>
      <c r="U206" s="83" t="s">
        <v>409</v>
      </c>
      <c r="V206" s="84">
        <v>30</v>
      </c>
      <c r="W206" s="85">
        <v>1.2048082896180194</v>
      </c>
      <c r="X206" s="86">
        <v>2.0108831543010175</v>
      </c>
      <c r="Y206" s="86">
        <v>0.15316532055412033</v>
      </c>
      <c r="Z206" s="85">
        <v>-2.9623884086243561E-4</v>
      </c>
      <c r="AA206" s="86">
        <v>0.30759698309671335</v>
      </c>
      <c r="AB206" s="85">
        <v>-4.2784163793413047E-4</v>
      </c>
      <c r="AC206" s="87">
        <v>0.35452868010802446</v>
      </c>
      <c r="AD206" s="86">
        <v>0.27996249256243011</v>
      </c>
      <c r="AE206" s="86">
        <v>0.37879796819936629</v>
      </c>
      <c r="AG206" s="76"/>
    </row>
    <row r="207" spans="14:33" x14ac:dyDescent="0.3">
      <c r="N207" s="170">
        <v>45211</v>
      </c>
      <c r="O207" s="174">
        <v>86</v>
      </c>
      <c r="P207" s="126">
        <v>2023</v>
      </c>
      <c r="Q207" s="126">
        <v>10</v>
      </c>
      <c r="R207" s="126" t="s">
        <v>271</v>
      </c>
      <c r="T207" s="126">
        <v>2024</v>
      </c>
      <c r="U207" s="126" t="s">
        <v>410</v>
      </c>
      <c r="V207" s="127">
        <v>45</v>
      </c>
      <c r="W207" s="128">
        <v>1.277280094823728</v>
      </c>
      <c r="X207" s="129">
        <v>0.28926208389857394</v>
      </c>
      <c r="Y207" s="129">
        <v>0.16705684920922526</v>
      </c>
      <c r="Z207" s="128">
        <v>-2.1864600401502766E-3</v>
      </c>
      <c r="AA207" s="129">
        <v>4.4413028827024706E-2</v>
      </c>
      <c r="AB207" s="128">
        <v>-2.2880806311814973E-3</v>
      </c>
      <c r="AC207" s="130">
        <v>0.42078237507538668</v>
      </c>
      <c r="AD207" s="129">
        <v>0.29189913847162119</v>
      </c>
      <c r="AE207" s="129">
        <v>0.51369471130317734</v>
      </c>
      <c r="AG207" s="76"/>
    </row>
    <row r="208" spans="14:33" x14ac:dyDescent="0.3">
      <c r="N208" s="171">
        <v>45212</v>
      </c>
      <c r="O208" s="175">
        <v>90.89</v>
      </c>
      <c r="P208" s="83">
        <v>2023</v>
      </c>
      <c r="Q208" s="83">
        <v>10</v>
      </c>
      <c r="R208" s="83" t="s">
        <v>271</v>
      </c>
      <c r="T208" s="83">
        <v>2024</v>
      </c>
      <c r="U208" s="83" t="s">
        <v>411</v>
      </c>
      <c r="V208" s="84">
        <v>164</v>
      </c>
      <c r="W208" s="85">
        <v>1.1709200204529924</v>
      </c>
      <c r="X208" s="86">
        <v>0.27473813403561204</v>
      </c>
      <c r="Y208" s="86">
        <v>9.426309087876697E-2</v>
      </c>
      <c r="Z208" s="85">
        <v>-2.1105444408195629E-3</v>
      </c>
      <c r="AA208" s="86">
        <v>4.8045201312521844E-2</v>
      </c>
      <c r="AB208" s="85">
        <v>-2.2170637132451114E-3</v>
      </c>
      <c r="AC208" s="87">
        <v>0.53842313775055062</v>
      </c>
      <c r="AD208" s="86">
        <v>0.45782493709706812</v>
      </c>
      <c r="AE208" s="86">
        <v>0.188855823489921</v>
      </c>
      <c r="AG208" s="76"/>
    </row>
    <row r="209" spans="14:33" x14ac:dyDescent="0.3">
      <c r="N209" s="170">
        <v>45215</v>
      </c>
      <c r="O209" s="174">
        <v>89.65</v>
      </c>
      <c r="P209" s="126">
        <v>2023</v>
      </c>
      <c r="Q209" s="126">
        <v>10</v>
      </c>
      <c r="R209" s="126" t="s">
        <v>271</v>
      </c>
      <c r="T209" s="126">
        <v>2024</v>
      </c>
      <c r="U209" s="126" t="s">
        <v>412</v>
      </c>
      <c r="V209" s="127">
        <v>10</v>
      </c>
      <c r="W209" s="128">
        <v>1.2551641961018303</v>
      </c>
      <c r="X209" s="129">
        <v>1.0726584461257194</v>
      </c>
      <c r="Y209" s="129">
        <v>0.21948943063387358</v>
      </c>
      <c r="Z209" s="128">
        <v>-5.7868654643208537E-4</v>
      </c>
      <c r="AA209" s="129">
        <v>1.4652309221875827E-2</v>
      </c>
      <c r="AB209" s="128">
        <v>-5.8729172641090732E-4</v>
      </c>
      <c r="AC209" s="130">
        <v>0.40675102626099358</v>
      </c>
      <c r="AD209" s="129">
        <v>0.25406917505650006</v>
      </c>
      <c r="AE209" s="129">
        <v>0.28732110193947924</v>
      </c>
      <c r="AG209" s="76"/>
    </row>
    <row r="210" spans="14:33" x14ac:dyDescent="0.3">
      <c r="N210" s="171">
        <v>45216</v>
      </c>
      <c r="O210" s="175">
        <v>89.9</v>
      </c>
      <c r="P210" s="83">
        <v>2023</v>
      </c>
      <c r="Q210" s="83">
        <v>10</v>
      </c>
      <c r="R210" s="83" t="s">
        <v>271</v>
      </c>
      <c r="T210" s="83">
        <v>2024</v>
      </c>
      <c r="U210" s="83" t="s">
        <v>413</v>
      </c>
      <c r="V210" s="84">
        <v>38</v>
      </c>
      <c r="W210" s="85">
        <v>1.2471014770997904</v>
      </c>
      <c r="X210" s="86">
        <v>0.48300567282668855</v>
      </c>
      <c r="Y210" s="86">
        <v>9.8288916826142728E-2</v>
      </c>
      <c r="Z210" s="85">
        <v>-1.2776102003783361E-3</v>
      </c>
      <c r="AA210" s="86">
        <v>4.5382199797510112E-2</v>
      </c>
      <c r="AB210" s="85">
        <v>-1.3383473470820828E-3</v>
      </c>
      <c r="AC210" s="87">
        <v>0.52696235580816431</v>
      </c>
      <c r="AD210" s="86">
        <v>0.46579004421759862</v>
      </c>
      <c r="AE210" s="86">
        <v>0.43451061610715019</v>
      </c>
      <c r="AG210" s="76"/>
    </row>
    <row r="211" spans="14:33" x14ac:dyDescent="0.3">
      <c r="N211" s="170">
        <v>45217</v>
      </c>
      <c r="O211" s="174">
        <v>90.22</v>
      </c>
      <c r="P211" s="126">
        <v>2023</v>
      </c>
      <c r="Q211" s="126">
        <v>10</v>
      </c>
      <c r="R211" s="126" t="s">
        <v>271</v>
      </c>
      <c r="T211" s="126">
        <v>2024</v>
      </c>
      <c r="U211" s="126" t="s">
        <v>414</v>
      </c>
      <c r="V211" s="127">
        <v>4</v>
      </c>
      <c r="W211" s="128">
        <v>1.4125912305600932</v>
      </c>
      <c r="X211" s="129">
        <v>0.58242118157245371</v>
      </c>
      <c r="Y211" s="129">
        <v>0.12024424146819795</v>
      </c>
      <c r="Z211" s="128">
        <v>-1.1999197869749711E-3</v>
      </c>
      <c r="AA211" s="129">
        <v>9.8248914040228272E-2</v>
      </c>
      <c r="AB211" s="128">
        <v>-1.3306552170079683E-3</v>
      </c>
      <c r="AC211" s="130">
        <v>0.44892380334886139</v>
      </c>
      <c r="AD211" s="129">
        <v>0.39493176140036279</v>
      </c>
      <c r="AE211" s="129">
        <v>0.41460083246837737</v>
      </c>
      <c r="AG211" s="76"/>
    </row>
    <row r="212" spans="14:33" x14ac:dyDescent="0.3">
      <c r="N212" s="171">
        <v>45218</v>
      </c>
      <c r="O212" s="175">
        <v>91.01</v>
      </c>
      <c r="P212" s="83">
        <v>2023</v>
      </c>
      <c r="Q212" s="83">
        <v>10</v>
      </c>
      <c r="R212" s="83" t="s">
        <v>271</v>
      </c>
      <c r="T212" s="83">
        <v>2024</v>
      </c>
      <c r="U212" s="83" t="s">
        <v>415</v>
      </c>
      <c r="V212" s="84">
        <v>76</v>
      </c>
      <c r="W212" s="85">
        <v>1.2772947079305697</v>
      </c>
      <c r="X212" s="86">
        <v>0.27404332014115201</v>
      </c>
      <c r="Y212" s="86">
        <v>0.10749764638974661</v>
      </c>
      <c r="Z212" s="85">
        <v>-2.3081290709979175E-3</v>
      </c>
      <c r="AA212" s="86">
        <v>4.9966819284392533E-2</v>
      </c>
      <c r="AB212" s="85">
        <v>-2.4295246922421505E-3</v>
      </c>
      <c r="AC212" s="87">
        <v>0.48818195945349135</v>
      </c>
      <c r="AD212" s="86">
        <v>0.42320469092143559</v>
      </c>
      <c r="AE212" s="86">
        <v>0.11590456255368969</v>
      </c>
      <c r="AG212" s="76"/>
    </row>
    <row r="213" spans="14:33" x14ac:dyDescent="0.3">
      <c r="N213" s="170">
        <v>45219</v>
      </c>
      <c r="O213" s="174">
        <v>90.89</v>
      </c>
      <c r="P213" s="126">
        <v>2023</v>
      </c>
      <c r="Q213" s="126">
        <v>10</v>
      </c>
      <c r="R213" s="126" t="s">
        <v>271</v>
      </c>
      <c r="T213" s="126">
        <v>2024</v>
      </c>
      <c r="U213" s="126" t="s">
        <v>416</v>
      </c>
      <c r="V213" s="127">
        <v>19</v>
      </c>
      <c r="W213" s="128">
        <v>1.4521788818808701</v>
      </c>
      <c r="X213" s="129">
        <v>0.21708836405146484</v>
      </c>
      <c r="Y213" s="129">
        <v>2.2762442840657152E-2</v>
      </c>
      <c r="Z213" s="128">
        <v>-3.3141923812883361E-3</v>
      </c>
      <c r="AA213" s="129">
        <v>0.12601748160559528</v>
      </c>
      <c r="AB213" s="128">
        <v>-3.7920579777463354E-3</v>
      </c>
      <c r="AC213" s="130">
        <v>0.55022556697275737</v>
      </c>
      <c r="AD213" s="129">
        <v>0.61956739404999339</v>
      </c>
      <c r="AE213" s="129" t="s">
        <v>496</v>
      </c>
      <c r="AG213" s="76"/>
    </row>
    <row r="214" spans="14:33" x14ac:dyDescent="0.3">
      <c r="N214" s="171">
        <v>45222</v>
      </c>
      <c r="O214" s="175">
        <v>88.69</v>
      </c>
      <c r="P214" s="83">
        <v>2023</v>
      </c>
      <c r="Q214" s="83">
        <v>10</v>
      </c>
      <c r="R214" s="83" t="s">
        <v>271</v>
      </c>
      <c r="T214" s="83">
        <v>2024</v>
      </c>
      <c r="U214" s="83" t="s">
        <v>417</v>
      </c>
      <c r="V214" s="84">
        <v>80</v>
      </c>
      <c r="W214" s="85">
        <v>1.1713869322889647</v>
      </c>
      <c r="X214" s="86">
        <v>0.32563052145455873</v>
      </c>
      <c r="Y214" s="86">
        <v>6.4707619952578926E-2</v>
      </c>
      <c r="Z214" s="85">
        <v>-1.7808984597078115E-3</v>
      </c>
      <c r="AA214" s="86">
        <v>5.2114354259030375E-2</v>
      </c>
      <c r="AB214" s="85">
        <v>-1.8788115082338536E-3</v>
      </c>
      <c r="AC214" s="87">
        <v>0.60526859741162964</v>
      </c>
      <c r="AD214" s="86">
        <v>0.47775300169020696</v>
      </c>
      <c r="AE214" s="86">
        <v>0.26370038953388647</v>
      </c>
      <c r="AG214" s="76"/>
    </row>
    <row r="215" spans="14:33" x14ac:dyDescent="0.3">
      <c r="N215" s="170">
        <v>45223</v>
      </c>
      <c r="O215" s="174">
        <v>87.16</v>
      </c>
      <c r="P215" s="126">
        <v>2023</v>
      </c>
      <c r="Q215" s="126">
        <v>10</v>
      </c>
      <c r="R215" s="126" t="s">
        <v>271</v>
      </c>
      <c r="T215" s="126">
        <v>2024</v>
      </c>
      <c r="U215" s="126" t="s">
        <v>418</v>
      </c>
      <c r="V215" s="127">
        <v>42</v>
      </c>
      <c r="W215" s="128">
        <v>1.2910863648381774</v>
      </c>
      <c r="X215" s="129">
        <v>9.5226989386829622E-2</v>
      </c>
      <c r="Y215" s="129">
        <v>9.1326261969354353E-2</v>
      </c>
      <c r="Z215" s="128">
        <v>-6.7368924705652764E-3</v>
      </c>
      <c r="AA215" s="129">
        <v>1.7944827521250071E-2</v>
      </c>
      <c r="AB215" s="128">
        <v>-6.8599938774937331E-3</v>
      </c>
      <c r="AC215" s="130">
        <v>0.46002129530107139</v>
      </c>
      <c r="AD215" s="129">
        <v>0.48725444355956743</v>
      </c>
      <c r="AE215" s="129">
        <v>0.2502042492888249</v>
      </c>
      <c r="AG215" s="76"/>
    </row>
    <row r="216" spans="14:33" x14ac:dyDescent="0.3">
      <c r="N216" s="171">
        <v>45224</v>
      </c>
      <c r="O216" s="175">
        <v>89.12</v>
      </c>
      <c r="P216" s="83">
        <v>2023</v>
      </c>
      <c r="Q216" s="83">
        <v>10</v>
      </c>
      <c r="R216" s="83" t="s">
        <v>271</v>
      </c>
      <c r="T216" s="83">
        <v>2024</v>
      </c>
      <c r="U216" s="83" t="s">
        <v>476</v>
      </c>
      <c r="V216" s="84">
        <v>49</v>
      </c>
      <c r="W216" s="85">
        <v>1.2643960028602219</v>
      </c>
      <c r="X216" s="86">
        <v>0.30126277175061744</v>
      </c>
      <c r="Y216" s="86">
        <v>0.10517907237686368</v>
      </c>
      <c r="Z216" s="85">
        <v>-2.0780449837213494E-3</v>
      </c>
      <c r="AA216" s="86">
        <v>4.153892916080696E-2</v>
      </c>
      <c r="AB216" s="85">
        <v>-2.1681057759621787E-3</v>
      </c>
      <c r="AC216" s="87">
        <v>0.4573409539780639</v>
      </c>
      <c r="AD216" s="86">
        <v>0.35111645283882109</v>
      </c>
      <c r="AE216" s="86">
        <v>0.19305242155651664</v>
      </c>
      <c r="AG216" s="76"/>
    </row>
    <row r="217" spans="14:33" x14ac:dyDescent="0.3">
      <c r="N217" s="170">
        <v>45225</v>
      </c>
      <c r="O217" s="174">
        <v>87.05</v>
      </c>
      <c r="P217" s="126">
        <v>2023</v>
      </c>
      <c r="Q217" s="126">
        <v>10</v>
      </c>
      <c r="R217" s="126" t="s">
        <v>271</v>
      </c>
      <c r="T217" s="126">
        <v>2024</v>
      </c>
      <c r="U217" s="126" t="s">
        <v>419</v>
      </c>
      <c r="V217" s="127">
        <v>23</v>
      </c>
      <c r="W217" s="128">
        <v>1.0382284747790869</v>
      </c>
      <c r="X217" s="129">
        <v>0.21236570626489795</v>
      </c>
      <c r="Y217" s="129">
        <v>2.9800285457986134E-2</v>
      </c>
      <c r="Z217" s="128">
        <v>-2.4222821864990046E-3</v>
      </c>
      <c r="AA217" s="129">
        <v>4.6739475865868324E-2</v>
      </c>
      <c r="AB217" s="128">
        <v>-2.5410495086841227E-3</v>
      </c>
      <c r="AC217" s="130">
        <v>0.56432347793914572</v>
      </c>
      <c r="AD217" s="129">
        <v>0.57844438730746484</v>
      </c>
      <c r="AE217" s="129">
        <v>0.48718074359979791</v>
      </c>
      <c r="AG217" s="76"/>
    </row>
    <row r="218" spans="14:33" x14ac:dyDescent="0.3">
      <c r="N218" s="171">
        <v>45226</v>
      </c>
      <c r="O218" s="175">
        <v>89.2</v>
      </c>
      <c r="P218" s="83">
        <v>2023</v>
      </c>
      <c r="Q218" s="83">
        <v>10</v>
      </c>
      <c r="R218" s="83" t="s">
        <v>271</v>
      </c>
      <c r="T218" s="83">
        <v>2024</v>
      </c>
      <c r="U218" s="83" t="s">
        <v>477</v>
      </c>
      <c r="V218" s="84">
        <v>598</v>
      </c>
      <c r="W218" s="85">
        <v>1.2417422800706084</v>
      </c>
      <c r="X218" s="86">
        <v>0.1532086421175077</v>
      </c>
      <c r="Y218" s="86">
        <v>9.3669880911142409E-3</v>
      </c>
      <c r="Z218" s="85">
        <v>-4.0193497996369237E-3</v>
      </c>
      <c r="AA218" s="86">
        <v>7.1437251488811804E-2</v>
      </c>
      <c r="AB218" s="85">
        <v>-4.3285710158859495E-3</v>
      </c>
      <c r="AC218" s="87">
        <v>0.65399906075149938</v>
      </c>
      <c r="AD218" s="86">
        <v>0.58414093308210857</v>
      </c>
      <c r="AE218" s="86">
        <v>0.29812569880822276</v>
      </c>
      <c r="AG218" s="76"/>
    </row>
    <row r="219" spans="14:33" x14ac:dyDescent="0.3">
      <c r="N219" s="170">
        <v>45229</v>
      </c>
      <c r="O219" s="174">
        <v>86.35</v>
      </c>
      <c r="P219" s="126">
        <v>2023</v>
      </c>
      <c r="Q219" s="126">
        <v>10</v>
      </c>
      <c r="R219" s="126" t="s">
        <v>271</v>
      </c>
      <c r="T219" s="126">
        <v>2024</v>
      </c>
      <c r="U219" s="126" t="s">
        <v>478</v>
      </c>
      <c r="V219" s="127">
        <v>281</v>
      </c>
      <c r="W219" s="128">
        <v>1.2680061555196915</v>
      </c>
      <c r="X219" s="129">
        <v>0.13615574045546022</v>
      </c>
      <c r="Y219" s="129">
        <v>2.373947361492524E-2</v>
      </c>
      <c r="Z219" s="128">
        <v>-4.6202886016851472E-3</v>
      </c>
      <c r="AA219" s="129">
        <v>2.5649637421181277E-2</v>
      </c>
      <c r="AB219" s="128">
        <v>-4.7419170548226646E-3</v>
      </c>
      <c r="AC219" s="130">
        <v>0.69191225362599162</v>
      </c>
      <c r="AD219" s="129">
        <v>0.64883553950451733</v>
      </c>
      <c r="AE219" s="129">
        <v>0.18546971819096153</v>
      </c>
      <c r="AG219" s="76"/>
    </row>
    <row r="220" spans="14:33" x14ac:dyDescent="0.3">
      <c r="N220" s="171">
        <v>45230</v>
      </c>
      <c r="O220" s="175">
        <v>85.02</v>
      </c>
      <c r="P220" s="83">
        <v>2023</v>
      </c>
      <c r="Q220" s="83">
        <v>10</v>
      </c>
      <c r="R220" s="83" t="s">
        <v>271</v>
      </c>
      <c r="T220" s="83">
        <v>2024</v>
      </c>
      <c r="U220" s="83" t="s">
        <v>479</v>
      </c>
      <c r="V220" s="84">
        <v>33</v>
      </c>
      <c r="W220" s="85">
        <v>1.1008288893194806</v>
      </c>
      <c r="X220" s="86">
        <v>0.30610420787144932</v>
      </c>
      <c r="Y220" s="86">
        <v>7.0982357458296813E-2</v>
      </c>
      <c r="Z220" s="85">
        <v>-1.7805596501276749E-3</v>
      </c>
      <c r="AA220" s="86">
        <v>9.9048605897792408E-2</v>
      </c>
      <c r="AB220" s="85">
        <v>-1.9763104444740789E-3</v>
      </c>
      <c r="AC220" s="87">
        <v>0.54831668621017793</v>
      </c>
      <c r="AD220" s="86">
        <v>0.41812601855058806</v>
      </c>
      <c r="AE220" s="86">
        <v>0.17467699345638765</v>
      </c>
      <c r="AG220" s="76"/>
    </row>
    <row r="221" spans="14:33" x14ac:dyDescent="0.3">
      <c r="N221" s="170">
        <v>45231</v>
      </c>
      <c r="O221" s="174">
        <v>84.63</v>
      </c>
      <c r="P221" s="126">
        <v>2023</v>
      </c>
      <c r="Q221" s="126">
        <v>11</v>
      </c>
      <c r="R221" s="126" t="s">
        <v>271</v>
      </c>
      <c r="T221" s="126">
        <v>2024</v>
      </c>
      <c r="U221" s="126" t="s">
        <v>420</v>
      </c>
      <c r="V221" s="127">
        <v>110</v>
      </c>
      <c r="W221" s="128">
        <v>1.5896686619511227</v>
      </c>
      <c r="X221" s="129">
        <v>0.22517897119319411</v>
      </c>
      <c r="Y221" s="129">
        <v>4.468854824762538E-2</v>
      </c>
      <c r="Z221" s="128">
        <v>-3.4973356549063608E-3</v>
      </c>
      <c r="AA221" s="129">
        <v>5.0721749418674862E-2</v>
      </c>
      <c r="AB221" s="128">
        <v>-3.6842049765331082E-3</v>
      </c>
      <c r="AC221" s="130">
        <v>0.59440287550492121</v>
      </c>
      <c r="AD221" s="129">
        <v>0.58554859436634488</v>
      </c>
      <c r="AE221" s="129">
        <v>0.13952392240432268</v>
      </c>
      <c r="AG221" s="76"/>
    </row>
    <row r="222" spans="14:33" x14ac:dyDescent="0.3">
      <c r="N222" s="171">
        <v>45232</v>
      </c>
      <c r="O222" s="175">
        <v>86.85</v>
      </c>
      <c r="P222" s="83">
        <v>2023</v>
      </c>
      <c r="Q222" s="83">
        <v>11</v>
      </c>
      <c r="R222" s="83" t="s">
        <v>271</v>
      </c>
      <c r="T222" s="83">
        <v>2024</v>
      </c>
      <c r="U222" s="83" t="s">
        <v>421</v>
      </c>
      <c r="V222" s="84">
        <v>16</v>
      </c>
      <c r="W222" s="85">
        <v>1.5389191240889379</v>
      </c>
      <c r="X222" s="86">
        <v>0.16454415358129629</v>
      </c>
      <c r="Y222" s="86">
        <v>3.9839422941665745E-2</v>
      </c>
      <c r="Z222" s="85">
        <v>-4.6370748637752125E-3</v>
      </c>
      <c r="AA222" s="86">
        <v>0.15076516748919444</v>
      </c>
      <c r="AB222" s="85">
        <v>-5.4602975363898668E-3</v>
      </c>
      <c r="AC222" s="87">
        <v>0.59618023652287999</v>
      </c>
      <c r="AD222" s="86">
        <v>0.39564713245016608</v>
      </c>
      <c r="AE222" s="86">
        <v>3.2816740669127902</v>
      </c>
      <c r="AG222" s="76"/>
    </row>
    <row r="223" spans="14:33" x14ac:dyDescent="0.3">
      <c r="N223" s="170">
        <v>45233</v>
      </c>
      <c r="O223" s="174">
        <v>84.89</v>
      </c>
      <c r="P223" s="126">
        <v>2023</v>
      </c>
      <c r="Q223" s="126">
        <v>11</v>
      </c>
      <c r="R223" s="126" t="s">
        <v>271</v>
      </c>
      <c r="T223" s="126">
        <v>2024</v>
      </c>
      <c r="U223" s="126" t="s">
        <v>480</v>
      </c>
      <c r="V223" s="127">
        <v>138</v>
      </c>
      <c r="W223" s="128">
        <v>1.2012527647557136</v>
      </c>
      <c r="X223" s="129">
        <v>0.18815296717148403</v>
      </c>
      <c r="Y223" s="129">
        <v>6.2906519672550273E-2</v>
      </c>
      <c r="Z223" s="128">
        <v>-3.164243710787152E-3</v>
      </c>
      <c r="AA223" s="129">
        <v>5.6857387672521964E-2</v>
      </c>
      <c r="AB223" s="128">
        <v>-3.3550002612844124E-3</v>
      </c>
      <c r="AC223" s="130">
        <v>0.50307613144155283</v>
      </c>
      <c r="AD223" s="129">
        <v>0.449375866701406</v>
      </c>
      <c r="AE223" s="129">
        <v>0.25372538724431853</v>
      </c>
      <c r="AG223" s="76"/>
    </row>
    <row r="224" spans="14:33" x14ac:dyDescent="0.3">
      <c r="N224" s="171">
        <v>45236</v>
      </c>
      <c r="O224" s="175">
        <v>85.18</v>
      </c>
      <c r="P224" s="83">
        <v>2023</v>
      </c>
      <c r="Q224" s="83">
        <v>11</v>
      </c>
      <c r="R224" s="83" t="s">
        <v>271</v>
      </c>
      <c r="T224" s="83">
        <v>2024</v>
      </c>
      <c r="U224" s="83" t="s">
        <v>481</v>
      </c>
      <c r="V224" s="84">
        <v>43</v>
      </c>
      <c r="W224" s="85">
        <v>1.1967640138319908</v>
      </c>
      <c r="X224" s="86">
        <v>0.3159216597803674</v>
      </c>
      <c r="Y224" s="86">
        <v>0.13296156731028333</v>
      </c>
      <c r="Z224" s="85">
        <v>-1.8754837227294148E-3</v>
      </c>
      <c r="AA224" s="86">
        <v>4.9237983688661585E-2</v>
      </c>
      <c r="AB224" s="85">
        <v>-1.9726111167184712E-3</v>
      </c>
      <c r="AC224" s="87">
        <v>0.42193835857454437</v>
      </c>
      <c r="AD224" s="86">
        <v>0.35166848143953711</v>
      </c>
      <c r="AE224" s="86">
        <v>0.1519539977388748</v>
      </c>
      <c r="AG224" s="76"/>
    </row>
    <row r="225" spans="14:33" x14ac:dyDescent="0.3">
      <c r="N225" s="170">
        <v>45237</v>
      </c>
      <c r="O225" s="174">
        <v>81.61</v>
      </c>
      <c r="P225" s="126">
        <v>2023</v>
      </c>
      <c r="Q225" s="126">
        <v>11</v>
      </c>
      <c r="R225" s="126" t="s">
        <v>271</v>
      </c>
      <c r="T225" s="126">
        <v>2024</v>
      </c>
      <c r="U225" s="126" t="s">
        <v>422</v>
      </c>
      <c r="V225" s="127">
        <v>110</v>
      </c>
      <c r="W225" s="128">
        <v>1.4497950169593838</v>
      </c>
      <c r="X225" s="129">
        <v>0.33280500111802513</v>
      </c>
      <c r="Y225" s="129">
        <v>3.4485773715445603E-2</v>
      </c>
      <c r="Z225" s="128">
        <v>-2.1565841714577152E-3</v>
      </c>
      <c r="AA225" s="129">
        <v>6.9023482536863676E-2</v>
      </c>
      <c r="AB225" s="128">
        <v>-2.3164753686100454E-3</v>
      </c>
      <c r="AC225" s="130">
        <v>0.68827444182709896</v>
      </c>
      <c r="AD225" s="129">
        <v>0.578095571351251</v>
      </c>
      <c r="AE225" s="129">
        <v>0.25732913893489373</v>
      </c>
      <c r="AG225" s="76"/>
    </row>
    <row r="226" spans="14:33" x14ac:dyDescent="0.3">
      <c r="N226" s="171">
        <v>45238</v>
      </c>
      <c r="O226" s="175">
        <v>79.540000000000006</v>
      </c>
      <c r="P226" s="83">
        <v>2023</v>
      </c>
      <c r="Q226" s="83">
        <v>11</v>
      </c>
      <c r="R226" s="83" t="s">
        <v>271</v>
      </c>
      <c r="T226" s="83">
        <v>2024</v>
      </c>
      <c r="U226" s="83" t="s">
        <v>423</v>
      </c>
      <c r="V226" s="84">
        <v>62</v>
      </c>
      <c r="W226" s="85">
        <v>1.0153454106826958</v>
      </c>
      <c r="X226" s="86">
        <v>0.25536486314909534</v>
      </c>
      <c r="Y226" s="86">
        <v>5.4211005912351659E-2</v>
      </c>
      <c r="Z226" s="85">
        <v>-1.9692383054713981E-3</v>
      </c>
      <c r="AA226" s="86">
        <v>8.1137078092717446E-3</v>
      </c>
      <c r="AB226" s="85">
        <v>-1.9853468295464019E-3</v>
      </c>
      <c r="AC226" s="87">
        <v>0.61566156782923753</v>
      </c>
      <c r="AD226" s="86">
        <v>0.48087346767746236</v>
      </c>
      <c r="AE226" s="86">
        <v>0.13314926778396013</v>
      </c>
      <c r="AG226" s="76"/>
    </row>
    <row r="227" spans="14:33" x14ac:dyDescent="0.3">
      <c r="N227" s="170">
        <v>45239</v>
      </c>
      <c r="O227" s="174">
        <v>80.010000000000005</v>
      </c>
      <c r="P227" s="126">
        <v>2023</v>
      </c>
      <c r="Q227" s="126">
        <v>11</v>
      </c>
      <c r="R227" s="126" t="s">
        <v>271</v>
      </c>
      <c r="T227" s="126">
        <v>2024</v>
      </c>
      <c r="U227" s="126" t="s">
        <v>424</v>
      </c>
      <c r="V227" s="127">
        <v>39</v>
      </c>
      <c r="W227" s="128">
        <v>1.1403135761675725</v>
      </c>
      <c r="X227" s="129">
        <v>0.33866680168767294</v>
      </c>
      <c r="Y227" s="129">
        <v>6.6354615342110748E-2</v>
      </c>
      <c r="Z227" s="128">
        <v>-1.6668255218533256E-3</v>
      </c>
      <c r="AA227" s="129">
        <v>2.3316489175641959E-2</v>
      </c>
      <c r="AB227" s="128">
        <v>-1.7066178586822476E-3</v>
      </c>
      <c r="AC227" s="130">
        <v>0.58902891744351826</v>
      </c>
      <c r="AD227" s="129">
        <v>0.54426709586173694</v>
      </c>
      <c r="AE227" s="129">
        <v>0.26089987310925372</v>
      </c>
      <c r="AG227" s="76"/>
    </row>
    <row r="228" spans="14:33" x14ac:dyDescent="0.3">
      <c r="N228" s="171">
        <v>45240</v>
      </c>
      <c r="O228" s="175">
        <v>81.430000000000007</v>
      </c>
      <c r="P228" s="83">
        <v>2023</v>
      </c>
      <c r="Q228" s="83">
        <v>11</v>
      </c>
      <c r="R228" s="83" t="s">
        <v>271</v>
      </c>
      <c r="T228" s="83">
        <v>2024</v>
      </c>
      <c r="U228" s="83" t="s">
        <v>425</v>
      </c>
      <c r="V228" s="84">
        <v>223</v>
      </c>
      <c r="W228" s="85">
        <v>0.88572507363771524</v>
      </c>
      <c r="X228" s="86">
        <v>10.043963353993375</v>
      </c>
      <c r="Y228" s="86">
        <v>0.14608585547831091</v>
      </c>
      <c r="Z228" s="85">
        <v>-4.359325633916192E-5</v>
      </c>
      <c r="AA228" s="86">
        <v>2.23635951229793E-2</v>
      </c>
      <c r="AB228" s="85">
        <v>-4.4590459317690427E-5</v>
      </c>
      <c r="AC228" s="87">
        <v>0.33784250120258325</v>
      </c>
      <c r="AD228" s="86">
        <v>0.27145306503706762</v>
      </c>
      <c r="AE228" s="86">
        <v>0.61670379122051722</v>
      </c>
      <c r="AG228" s="76"/>
    </row>
    <row r="229" spans="14:33" x14ac:dyDescent="0.3">
      <c r="N229" s="170">
        <v>45243</v>
      </c>
      <c r="O229" s="174">
        <v>82.52</v>
      </c>
      <c r="P229" s="126">
        <v>2023</v>
      </c>
      <c r="Q229" s="126">
        <v>11</v>
      </c>
      <c r="R229" s="126" t="s">
        <v>271</v>
      </c>
      <c r="T229" s="126">
        <v>2024</v>
      </c>
      <c r="U229" s="126" t="s">
        <v>426</v>
      </c>
      <c r="V229" s="127">
        <v>92</v>
      </c>
      <c r="W229" s="128">
        <v>0.91752023311739583</v>
      </c>
      <c r="X229" s="129">
        <v>0.28857870023567972</v>
      </c>
      <c r="Y229" s="129">
        <v>7.7369309042831444E-2</v>
      </c>
      <c r="Z229" s="128">
        <v>-1.5743455053141178E-3</v>
      </c>
      <c r="AA229" s="129">
        <v>1.87364939663376E-2</v>
      </c>
      <c r="AB229" s="128">
        <v>-1.6044064572193614E-3</v>
      </c>
      <c r="AC229" s="130">
        <v>0.48660886685275451</v>
      </c>
      <c r="AD229" s="129">
        <v>0.34228783415433228</v>
      </c>
      <c r="AE229" s="129">
        <v>0.16971271691317583</v>
      </c>
      <c r="AG229" s="76"/>
    </row>
    <row r="230" spans="14:33" x14ac:dyDescent="0.3">
      <c r="N230" s="171">
        <v>45244</v>
      </c>
      <c r="O230" s="175">
        <v>82.47</v>
      </c>
      <c r="P230" s="83">
        <v>2023</v>
      </c>
      <c r="Q230" s="83">
        <v>11</v>
      </c>
      <c r="R230" s="83" t="s">
        <v>271</v>
      </c>
      <c r="T230" s="83">
        <v>2024</v>
      </c>
      <c r="U230" s="83" t="s">
        <v>427</v>
      </c>
      <c r="V230" s="84">
        <v>14</v>
      </c>
      <c r="W230" s="85">
        <v>1.1237058272854066</v>
      </c>
      <c r="X230" s="86">
        <v>0.4615645897310518</v>
      </c>
      <c r="Y230" s="86">
        <v>0.11937255281975857</v>
      </c>
      <c r="Z230" s="85">
        <v>-1.2047297262100336E-3</v>
      </c>
      <c r="AA230" s="86">
        <v>1.2964298755208017E-2</v>
      </c>
      <c r="AB230" s="85">
        <v>-1.2205533444136808E-3</v>
      </c>
      <c r="AC230" s="87">
        <v>0.47929314717046612</v>
      </c>
      <c r="AD230" s="86">
        <v>0.32418308733551454</v>
      </c>
      <c r="AE230" s="86">
        <v>0.25632423585379177</v>
      </c>
      <c r="AG230" s="76"/>
    </row>
    <row r="231" spans="14:33" x14ac:dyDescent="0.3">
      <c r="N231" s="170">
        <v>45245</v>
      </c>
      <c r="O231" s="174">
        <v>81.180000000000007</v>
      </c>
      <c r="P231" s="126">
        <v>2023</v>
      </c>
      <c r="Q231" s="126">
        <v>11</v>
      </c>
      <c r="R231" s="126" t="s">
        <v>271</v>
      </c>
      <c r="T231" s="126">
        <v>2024</v>
      </c>
      <c r="U231" s="126" t="s">
        <v>428</v>
      </c>
      <c r="V231" s="127">
        <v>32</v>
      </c>
      <c r="W231" s="128">
        <v>1.2708955631991046</v>
      </c>
      <c r="X231" s="129">
        <v>0.55936201185575507</v>
      </c>
      <c r="Y231" s="129">
        <v>0.12672224018253109</v>
      </c>
      <c r="Z231" s="128">
        <v>-1.1241000662326015E-3</v>
      </c>
      <c r="AA231" s="129">
        <v>5.9473625852007939E-2</v>
      </c>
      <c r="AB231" s="128">
        <v>-1.1951818653154792E-3</v>
      </c>
      <c r="AC231" s="130">
        <v>0.54836004530607518</v>
      </c>
      <c r="AD231" s="129">
        <v>0.41911842205905825</v>
      </c>
      <c r="AE231" s="129">
        <v>0.24912194882957625</v>
      </c>
      <c r="AG231" s="76"/>
    </row>
    <row r="232" spans="14:33" x14ac:dyDescent="0.3">
      <c r="N232" s="171">
        <v>45246</v>
      </c>
      <c r="O232" s="175">
        <v>77.42</v>
      </c>
      <c r="P232" s="83">
        <v>2023</v>
      </c>
      <c r="Q232" s="83">
        <v>11</v>
      </c>
      <c r="R232" s="83" t="s">
        <v>271</v>
      </c>
      <c r="T232" s="83">
        <v>2024</v>
      </c>
      <c r="U232" s="83" t="s">
        <v>482</v>
      </c>
      <c r="V232" s="84">
        <v>19</v>
      </c>
      <c r="W232" s="85">
        <v>1.60070111091836</v>
      </c>
      <c r="X232" s="86">
        <v>1.2111640347849206</v>
      </c>
      <c r="Y232" s="86">
        <v>6.7279229737616172E-2</v>
      </c>
      <c r="Z232" s="85">
        <v>-6.5356484460743285E-4</v>
      </c>
      <c r="AA232" s="86">
        <v>4.379247523402989E-2</v>
      </c>
      <c r="AB232" s="85">
        <v>-6.8349686410111815E-4</v>
      </c>
      <c r="AC232" s="87">
        <v>0.67706030467577893</v>
      </c>
      <c r="AD232" s="86">
        <v>0.67598359199996327</v>
      </c>
      <c r="AE232" s="86">
        <v>0.62821896028330626</v>
      </c>
      <c r="AG232" s="76"/>
    </row>
    <row r="233" spans="14:33" x14ac:dyDescent="0.3">
      <c r="N233" s="170">
        <v>45247</v>
      </c>
      <c r="O233" s="174">
        <v>80.5</v>
      </c>
      <c r="P233" s="126">
        <v>2023</v>
      </c>
      <c r="Q233" s="126">
        <v>11</v>
      </c>
      <c r="R233" s="126" t="s">
        <v>271</v>
      </c>
      <c r="T233" s="126">
        <v>2024</v>
      </c>
      <c r="U233" s="126" t="s">
        <v>429</v>
      </c>
      <c r="V233" s="127">
        <v>254</v>
      </c>
      <c r="W233" s="128">
        <v>1.1623831948690986</v>
      </c>
      <c r="X233" s="129">
        <v>0.12602806724123175</v>
      </c>
      <c r="Y233" s="129">
        <v>3.6967519289018667E-2</v>
      </c>
      <c r="Z233" s="128">
        <v>-4.5771266630079098E-3</v>
      </c>
      <c r="AA233" s="129">
        <v>3.1994527781721203E-2</v>
      </c>
      <c r="AB233" s="128">
        <v>-4.7284099050793364E-3</v>
      </c>
      <c r="AC233" s="130">
        <v>0.59385542680083958</v>
      </c>
      <c r="AD233" s="129">
        <v>0.50940122537609955</v>
      </c>
      <c r="AE233" s="129">
        <v>0.30097979999874019</v>
      </c>
      <c r="AG233" s="76"/>
    </row>
    <row r="234" spans="14:33" x14ac:dyDescent="0.3">
      <c r="N234" s="171">
        <v>45250</v>
      </c>
      <c r="O234" s="175">
        <v>82.34</v>
      </c>
      <c r="P234" s="83">
        <v>2023</v>
      </c>
      <c r="Q234" s="83">
        <v>11</v>
      </c>
      <c r="R234" s="83" t="s">
        <v>271</v>
      </c>
      <c r="T234" s="83">
        <v>2024</v>
      </c>
      <c r="U234" s="83" t="s">
        <v>483</v>
      </c>
      <c r="V234" s="84">
        <v>131</v>
      </c>
      <c r="W234" s="85">
        <v>1.1603652760592904</v>
      </c>
      <c r="X234" s="86">
        <v>0.23605438336428305</v>
      </c>
      <c r="Y234" s="86">
        <v>6.7422782748656859E-2</v>
      </c>
      <c r="Z234" s="85">
        <v>-2.4349899343496044E-3</v>
      </c>
      <c r="AA234" s="86">
        <v>8.0849129295955585E-2</v>
      </c>
      <c r="AB234" s="85">
        <v>-2.6491732880418953E-3</v>
      </c>
      <c r="AC234" s="87">
        <v>0.56359840316908172</v>
      </c>
      <c r="AD234" s="86">
        <v>0.47792508451312243</v>
      </c>
      <c r="AE234" s="86">
        <v>0.27585814850670065</v>
      </c>
      <c r="AG234" s="76"/>
    </row>
    <row r="235" spans="14:33" x14ac:dyDescent="0.3">
      <c r="N235" s="170">
        <v>45251</v>
      </c>
      <c r="O235" s="174">
        <v>82.48</v>
      </c>
      <c r="P235" s="126">
        <v>2023</v>
      </c>
      <c r="Q235" s="126">
        <v>11</v>
      </c>
      <c r="R235" s="126" t="s">
        <v>271</v>
      </c>
      <c r="T235" s="126">
        <v>2024</v>
      </c>
      <c r="U235" s="126" t="s">
        <v>473</v>
      </c>
      <c r="V235" s="127">
        <v>138</v>
      </c>
      <c r="W235" s="128">
        <v>1.4715094541215377</v>
      </c>
      <c r="X235" s="129">
        <v>0.14208144140427534</v>
      </c>
      <c r="Y235" s="129">
        <v>4.304939948115865E-2</v>
      </c>
      <c r="Z235" s="128">
        <v>-5.1374003087946039E-3</v>
      </c>
      <c r="AA235" s="129">
        <v>2.9861395459020352E-2</v>
      </c>
      <c r="AB235" s="128">
        <v>-5.2955322927545605E-3</v>
      </c>
      <c r="AC235" s="130">
        <v>0.61728792200791271</v>
      </c>
      <c r="AD235" s="129">
        <v>0.53871737622490645</v>
      </c>
      <c r="AE235" s="129">
        <v>0.48966291900694897</v>
      </c>
      <c r="AG235" s="76"/>
    </row>
    <row r="236" spans="14:33" x14ac:dyDescent="0.3">
      <c r="N236" s="171">
        <v>45252</v>
      </c>
      <c r="O236" s="175">
        <v>81.88</v>
      </c>
      <c r="P236" s="83">
        <v>2023</v>
      </c>
      <c r="Q236" s="83">
        <v>11</v>
      </c>
      <c r="R236" s="83" t="s">
        <v>271</v>
      </c>
      <c r="T236" s="83">
        <v>2024</v>
      </c>
      <c r="U236" s="83" t="s">
        <v>430</v>
      </c>
      <c r="V236" s="84">
        <v>32</v>
      </c>
      <c r="W236" s="85">
        <v>1.5022071383659328</v>
      </c>
      <c r="X236" s="86">
        <v>0.32335735016651312</v>
      </c>
      <c r="Y236" s="86">
        <v>0.17814639912453609</v>
      </c>
      <c r="Z236" s="85">
        <v>-2.2999352735212416E-3</v>
      </c>
      <c r="AA236" s="86">
        <v>9.3127543900187543E-2</v>
      </c>
      <c r="AB236" s="85">
        <v>-2.5361176845226682E-3</v>
      </c>
      <c r="AC236" s="87">
        <v>0.41272083246912217</v>
      </c>
      <c r="AD236" s="86">
        <v>0.33330387129630179</v>
      </c>
      <c r="AE236" s="86">
        <v>0.70576218876640073</v>
      </c>
      <c r="AG236" s="76"/>
    </row>
    <row r="237" spans="14:33" x14ac:dyDescent="0.3">
      <c r="N237" s="170">
        <v>45253</v>
      </c>
      <c r="O237" s="174">
        <v>81.25</v>
      </c>
      <c r="P237" s="126">
        <v>2023</v>
      </c>
      <c r="Q237" s="126">
        <v>11</v>
      </c>
      <c r="R237" s="126" t="s">
        <v>271</v>
      </c>
      <c r="T237" s="126">
        <v>2024</v>
      </c>
      <c r="U237" s="126" t="s">
        <v>484</v>
      </c>
      <c r="V237" s="127">
        <v>34</v>
      </c>
      <c r="W237" s="128">
        <v>1.174001444953803</v>
      </c>
      <c r="X237" s="129">
        <v>0.87237425980200867</v>
      </c>
      <c r="Y237" s="129">
        <v>9.557019609780229E-2</v>
      </c>
      <c r="Z237" s="128">
        <v>-6.6560421089785298E-4</v>
      </c>
      <c r="AA237" s="129">
        <v>1.8538212587318761E-2</v>
      </c>
      <c r="AB237" s="128">
        <v>-6.7817638896824656E-4</v>
      </c>
      <c r="AC237" s="130">
        <v>0.60279093296241726</v>
      </c>
      <c r="AD237" s="129">
        <v>0.5119442326502478</v>
      </c>
      <c r="AE237" s="129">
        <v>0.18609860515663568</v>
      </c>
      <c r="AG237" s="76"/>
    </row>
    <row r="238" spans="14:33" x14ac:dyDescent="0.3">
      <c r="N238" s="171">
        <v>45254</v>
      </c>
      <c r="O238" s="175">
        <v>80.48</v>
      </c>
      <c r="P238" s="83">
        <v>2023</v>
      </c>
      <c r="Q238" s="83">
        <v>11</v>
      </c>
      <c r="R238" s="83" t="s">
        <v>271</v>
      </c>
      <c r="T238" s="83">
        <v>2024</v>
      </c>
      <c r="U238" s="83" t="s">
        <v>431</v>
      </c>
      <c r="V238" s="84">
        <v>69</v>
      </c>
      <c r="W238" s="85">
        <v>1.4599765370156599</v>
      </c>
      <c r="X238" s="86">
        <v>0.66577209240563995</v>
      </c>
      <c r="Y238" s="86">
        <v>8.1424228660483253E-2</v>
      </c>
      <c r="Z238" s="85">
        <v>-1.0847932573205333E-3</v>
      </c>
      <c r="AA238" s="86">
        <v>8.2200350685883675E-2</v>
      </c>
      <c r="AB238" s="85">
        <v>-1.1819499583936577E-3</v>
      </c>
      <c r="AC238" s="87">
        <v>0.48499566878652478</v>
      </c>
      <c r="AD238" s="86">
        <v>0.38051359185436157</v>
      </c>
      <c r="AE238" s="86">
        <v>1.0024098795355374</v>
      </c>
      <c r="AG238" s="76"/>
    </row>
    <row r="239" spans="14:33" x14ac:dyDescent="0.3">
      <c r="N239" s="170">
        <v>45257</v>
      </c>
      <c r="O239" s="174">
        <v>79.87</v>
      </c>
      <c r="P239" s="126">
        <v>2023</v>
      </c>
      <c r="Q239" s="126">
        <v>11</v>
      </c>
      <c r="R239" s="126" t="s">
        <v>271</v>
      </c>
      <c r="T239" s="126">
        <v>2024</v>
      </c>
      <c r="U239" s="126" t="s">
        <v>432</v>
      </c>
      <c r="V239" s="127">
        <v>127</v>
      </c>
      <c r="W239" s="128">
        <v>1.1550009836175177</v>
      </c>
      <c r="X239" s="129">
        <v>0.1552397595380495</v>
      </c>
      <c r="Y239" s="129">
        <v>6.7270246303556352E-2</v>
      </c>
      <c r="Z239" s="128">
        <v>-3.6895092153048448E-3</v>
      </c>
      <c r="AA239" s="129">
        <v>2.2054657954777637E-2</v>
      </c>
      <c r="AB239" s="128">
        <v>-3.7727151576680182E-3</v>
      </c>
      <c r="AC239" s="130">
        <v>0.65765860091096795</v>
      </c>
      <c r="AD239" s="129">
        <v>0.56827524943110697</v>
      </c>
      <c r="AE239" s="129">
        <v>6.918830586435934E-2</v>
      </c>
      <c r="AG239" s="76"/>
    </row>
    <row r="240" spans="14:33" x14ac:dyDescent="0.3">
      <c r="N240" s="171">
        <v>45258</v>
      </c>
      <c r="O240" s="175">
        <v>81.47</v>
      </c>
      <c r="P240" s="83">
        <v>2023</v>
      </c>
      <c r="Q240" s="83">
        <v>11</v>
      </c>
      <c r="R240" s="83" t="s">
        <v>271</v>
      </c>
      <c r="T240" s="83">
        <v>2024</v>
      </c>
      <c r="U240" s="83" t="s">
        <v>433</v>
      </c>
      <c r="V240" s="84">
        <v>73</v>
      </c>
      <c r="W240" s="85">
        <v>1.4047128789332648</v>
      </c>
      <c r="X240" s="86">
        <v>0.13058755319285983</v>
      </c>
      <c r="Y240" s="86">
        <v>0.12449529547899026</v>
      </c>
      <c r="Z240" s="85">
        <v>-5.3374885784819789E-3</v>
      </c>
      <c r="AA240" s="86">
        <v>4.0524175559670791E-2</v>
      </c>
      <c r="AB240" s="85">
        <v>-5.562921381156616E-3</v>
      </c>
      <c r="AC240" s="87">
        <v>0.47681215121694209</v>
      </c>
      <c r="AD240" s="86">
        <v>0.4510937058049509</v>
      </c>
      <c r="AE240" s="86">
        <v>0.2835450565434452</v>
      </c>
      <c r="AG240" s="76"/>
    </row>
    <row r="241" spans="14:33" x14ac:dyDescent="0.3">
      <c r="N241" s="170">
        <v>45259</v>
      </c>
      <c r="O241" s="174">
        <v>82.88</v>
      </c>
      <c r="P241" s="126">
        <v>2023</v>
      </c>
      <c r="Q241" s="126">
        <v>11</v>
      </c>
      <c r="R241" s="126" t="s">
        <v>271</v>
      </c>
      <c r="T241" s="126">
        <v>2024</v>
      </c>
      <c r="U241" s="126" t="s">
        <v>434</v>
      </c>
      <c r="V241" s="127">
        <v>21</v>
      </c>
      <c r="W241" s="128">
        <v>1.2277613538599423</v>
      </c>
      <c r="X241" s="129">
        <v>0.30488971397762499</v>
      </c>
      <c r="Y241" s="129">
        <v>0.10263886699732405</v>
      </c>
      <c r="Z241" s="128">
        <v>-1.9937926612106204E-3</v>
      </c>
      <c r="AA241" s="129">
        <v>2.6949929115194532E-2</v>
      </c>
      <c r="AB241" s="128">
        <v>-2.049013427847184E-3</v>
      </c>
      <c r="AC241" s="130">
        <v>0.45212247290893337</v>
      </c>
      <c r="AD241" s="129">
        <v>0.43761028506670019</v>
      </c>
      <c r="AE241" s="129">
        <v>0.37989752214453631</v>
      </c>
      <c r="AG241" s="76"/>
    </row>
    <row r="242" spans="14:33" x14ac:dyDescent="0.3">
      <c r="N242" s="171">
        <v>45260</v>
      </c>
      <c r="O242" s="175">
        <v>80.86</v>
      </c>
      <c r="P242" s="83">
        <v>2023</v>
      </c>
      <c r="Q242" s="83">
        <v>11</v>
      </c>
      <c r="R242" s="83" t="s">
        <v>271</v>
      </c>
      <c r="T242" s="83">
        <v>2024</v>
      </c>
      <c r="U242" s="83" t="s">
        <v>435</v>
      </c>
      <c r="V242" s="84">
        <v>27</v>
      </c>
      <c r="W242" s="85">
        <v>0.93935366031437906</v>
      </c>
      <c r="X242" s="86">
        <v>0.92403206740116273</v>
      </c>
      <c r="Y242" s="86">
        <v>0.11407564986678613</v>
      </c>
      <c r="Z242" s="85">
        <v>-5.0278069754386E-4</v>
      </c>
      <c r="AA242" s="86">
        <v>0.16873839578331887</v>
      </c>
      <c r="AB242" s="85">
        <v>-6.0484051590190186E-4</v>
      </c>
      <c r="AC242" s="87">
        <v>0.37737813626902367</v>
      </c>
      <c r="AD242" s="86">
        <v>0.28891454530535254</v>
      </c>
      <c r="AE242" s="86">
        <v>0.19531559316980887</v>
      </c>
      <c r="AG242" s="76"/>
    </row>
    <row r="243" spans="14:33" x14ac:dyDescent="0.3">
      <c r="N243" s="170">
        <v>45261</v>
      </c>
      <c r="O243" s="174">
        <v>78.88</v>
      </c>
      <c r="P243" s="126">
        <v>2023</v>
      </c>
      <c r="Q243" s="126">
        <v>12</v>
      </c>
      <c r="R243" s="126" t="s">
        <v>271</v>
      </c>
      <c r="T243" s="126">
        <v>2024</v>
      </c>
      <c r="U243" s="126" t="s">
        <v>436</v>
      </c>
      <c r="V243" s="127">
        <v>51</v>
      </c>
      <c r="W243" s="128">
        <v>0.80330136282469566</v>
      </c>
      <c r="X243" s="129">
        <v>0.21465948670887489</v>
      </c>
      <c r="Y243" s="129">
        <v>0.109240658776035</v>
      </c>
      <c r="Z243" s="128">
        <v>-1.8541026558464521E-3</v>
      </c>
      <c r="AA243" s="129">
        <v>5.1581418326943157E-2</v>
      </c>
      <c r="AB243" s="128">
        <v>-1.9549413008924017E-3</v>
      </c>
      <c r="AC243" s="130">
        <v>0.35270918786226862</v>
      </c>
      <c r="AD243" s="129">
        <v>0.27667183307261639</v>
      </c>
      <c r="AE243" s="129">
        <v>0.25431028874335815</v>
      </c>
      <c r="AG243" s="76"/>
    </row>
    <row r="244" spans="14:33" x14ac:dyDescent="0.3">
      <c r="N244" s="171">
        <v>45264</v>
      </c>
      <c r="O244" s="175">
        <v>78.03</v>
      </c>
      <c r="P244" s="83">
        <v>2023</v>
      </c>
      <c r="Q244" s="83">
        <v>12</v>
      </c>
      <c r="R244" s="83" t="s">
        <v>271</v>
      </c>
      <c r="T244" s="83">
        <v>2024</v>
      </c>
      <c r="U244" s="83" t="s">
        <v>485</v>
      </c>
      <c r="V244" s="84">
        <v>600</v>
      </c>
      <c r="W244" s="85">
        <v>0.62361295447909626</v>
      </c>
      <c r="X244" s="86">
        <v>0.38346905996267916</v>
      </c>
      <c r="Y244" s="86">
        <v>4.0125418223955996E-2</v>
      </c>
      <c r="Z244" s="85">
        <v>-8.0491331265508074E-4</v>
      </c>
      <c r="AA244" s="86">
        <v>9.9361219655371313E-2</v>
      </c>
      <c r="AB244" s="85">
        <v>-8.9371380649085671E-4</v>
      </c>
      <c r="AC244" s="87">
        <v>0.14993616815022495</v>
      </c>
      <c r="AD244" s="86">
        <v>9.9064267399825573E-2</v>
      </c>
      <c r="AE244" s="86">
        <v>0.26121287090127876</v>
      </c>
      <c r="AG244" s="76"/>
    </row>
    <row r="245" spans="14:33" x14ac:dyDescent="0.3">
      <c r="N245" s="170">
        <v>45265</v>
      </c>
      <c r="O245" s="174">
        <v>77.2</v>
      </c>
      <c r="P245" s="126">
        <v>2023</v>
      </c>
      <c r="Q245" s="126">
        <v>12</v>
      </c>
      <c r="R245" s="126" t="s">
        <v>271</v>
      </c>
      <c r="T245" s="126">
        <v>2024</v>
      </c>
      <c r="U245" s="126" t="s">
        <v>437</v>
      </c>
      <c r="V245" s="127">
        <v>116</v>
      </c>
      <c r="W245" s="128">
        <v>1.2248168994320441</v>
      </c>
      <c r="X245" s="129">
        <v>0.20842493500465975</v>
      </c>
      <c r="Y245" s="129">
        <v>0.10366582315102471</v>
      </c>
      <c r="Z245" s="128">
        <v>-2.9117684727120734E-3</v>
      </c>
      <c r="AA245" s="129">
        <v>3.1620151885439637E-2</v>
      </c>
      <c r="AB245" s="128">
        <v>-3.0068453803342755E-3</v>
      </c>
      <c r="AC245" s="130">
        <v>0.42240656630421392</v>
      </c>
      <c r="AD245" s="129">
        <v>0.32362033573649224</v>
      </c>
      <c r="AE245" s="129">
        <v>0.16912160618518354</v>
      </c>
      <c r="AG245" s="76"/>
    </row>
    <row r="246" spans="14:33" x14ac:dyDescent="0.3">
      <c r="N246" s="171">
        <v>45266</v>
      </c>
      <c r="O246" s="175">
        <v>74.3</v>
      </c>
      <c r="P246" s="83">
        <v>2023</v>
      </c>
      <c r="Q246" s="83">
        <v>12</v>
      </c>
      <c r="R246" s="83" t="s">
        <v>271</v>
      </c>
      <c r="T246" s="83">
        <v>2024</v>
      </c>
      <c r="U246" s="83" t="s">
        <v>438</v>
      </c>
      <c r="V246" s="84">
        <v>68</v>
      </c>
      <c r="W246" s="85">
        <v>1.2900534643158847</v>
      </c>
      <c r="X246" s="86">
        <v>0.21544931089430228</v>
      </c>
      <c r="Y246" s="86">
        <v>4.1470687221803568E-2</v>
      </c>
      <c r="Z246" s="85">
        <v>-2.9666361469098258E-3</v>
      </c>
      <c r="AA246" s="86">
        <v>8.9071410334220336E-2</v>
      </c>
      <c r="AB246" s="85">
        <v>-3.2567164765333434E-3</v>
      </c>
      <c r="AC246" s="87">
        <v>0.66580496759506924</v>
      </c>
      <c r="AD246" s="86">
        <v>0.70056239501193862</v>
      </c>
      <c r="AE246" s="86">
        <v>0.52711340299834919</v>
      </c>
      <c r="AG246" s="76"/>
    </row>
    <row r="247" spans="14:33" x14ac:dyDescent="0.3">
      <c r="N247" s="170">
        <v>45267</v>
      </c>
      <c r="O247" s="174">
        <v>74.05</v>
      </c>
      <c r="P247" s="126">
        <v>2023</v>
      </c>
      <c r="Q247" s="126">
        <v>12</v>
      </c>
      <c r="R247" s="126" t="s">
        <v>271</v>
      </c>
      <c r="T247" s="126">
        <v>2024</v>
      </c>
      <c r="U247" s="126" t="s">
        <v>439</v>
      </c>
      <c r="V247" s="127">
        <v>16</v>
      </c>
      <c r="W247" s="128">
        <v>1.1770946700328646</v>
      </c>
      <c r="X247" s="129">
        <v>0.6680142260029055</v>
      </c>
      <c r="Y247" s="129">
        <v>0.19532686112334122</v>
      </c>
      <c r="Z247" s="128">
        <v>-8.7166836801868793E-4</v>
      </c>
      <c r="AA247" s="129">
        <v>7.1772032633234992E-2</v>
      </c>
      <c r="AB247" s="128">
        <v>-9.3906712430942183E-4</v>
      </c>
      <c r="AC247" s="130">
        <v>0.44419494747462679</v>
      </c>
      <c r="AD247" s="129">
        <v>0.35220934553840333</v>
      </c>
      <c r="AE247" s="129">
        <v>0.18329346039703018</v>
      </c>
      <c r="AG247" s="76"/>
    </row>
    <row r="248" spans="14:33" x14ac:dyDescent="0.3">
      <c r="N248" s="171">
        <v>45268</v>
      </c>
      <c r="O248" s="175">
        <v>75.84</v>
      </c>
      <c r="P248" s="83">
        <v>2023</v>
      </c>
      <c r="Q248" s="83">
        <v>12</v>
      </c>
      <c r="R248" s="83" t="s">
        <v>271</v>
      </c>
      <c r="T248" s="83">
        <v>2024</v>
      </c>
      <c r="U248" s="83" t="s">
        <v>440</v>
      </c>
      <c r="V248" s="84">
        <v>4</v>
      </c>
      <c r="W248" s="85">
        <v>0.97748589274906783</v>
      </c>
      <c r="X248" s="86">
        <v>0.11503816258570915</v>
      </c>
      <c r="Y248" s="86">
        <v>0.14222153189085546</v>
      </c>
      <c r="Z248" s="85">
        <v>-4.2183523221767704E-3</v>
      </c>
      <c r="AA248" s="86">
        <v>4.9056001104084736E-2</v>
      </c>
      <c r="AB248" s="85">
        <v>-4.4359629242883376E-3</v>
      </c>
      <c r="AC248" s="87">
        <v>0.34410896982169686</v>
      </c>
      <c r="AD248" s="86">
        <v>0.30548944434643338</v>
      </c>
      <c r="AE248" s="86">
        <v>0.9762764799479865</v>
      </c>
      <c r="AG248" s="76"/>
    </row>
    <row r="249" spans="14:33" x14ac:dyDescent="0.3">
      <c r="N249" s="170">
        <v>45271</v>
      </c>
      <c r="O249" s="174">
        <v>76.03</v>
      </c>
      <c r="P249" s="126">
        <v>2023</v>
      </c>
      <c r="Q249" s="126">
        <v>12</v>
      </c>
      <c r="R249" s="126" t="s">
        <v>271</v>
      </c>
      <c r="T249" s="126">
        <v>2024</v>
      </c>
      <c r="U249" s="126" t="s">
        <v>441</v>
      </c>
      <c r="V249" s="127">
        <v>174</v>
      </c>
      <c r="W249" s="128">
        <v>1.2574315521617736</v>
      </c>
      <c r="X249" s="129">
        <v>0.20083328443025461</v>
      </c>
      <c r="Y249" s="129">
        <v>4.6038594576514963E-2</v>
      </c>
      <c r="Z249" s="128">
        <v>-3.1025803412889916E-3</v>
      </c>
      <c r="AA249" s="129">
        <v>3.8114747359291025E-2</v>
      </c>
      <c r="AB249" s="128">
        <v>-3.2255202299560485E-3</v>
      </c>
      <c r="AC249" s="130">
        <v>0.57896429399894367</v>
      </c>
      <c r="AD249" s="129">
        <v>0.56976877370013901</v>
      </c>
      <c r="AE249" s="129">
        <v>2.3177756312329634</v>
      </c>
      <c r="AG249" s="76"/>
    </row>
    <row r="250" spans="14:33" x14ac:dyDescent="0.3">
      <c r="N250" s="171">
        <v>45272</v>
      </c>
      <c r="O250" s="175">
        <v>73.239999999999995</v>
      </c>
      <c r="P250" s="83">
        <v>2023</v>
      </c>
      <c r="Q250" s="83">
        <v>12</v>
      </c>
      <c r="R250" s="83" t="s">
        <v>271</v>
      </c>
      <c r="T250" s="83">
        <v>2024</v>
      </c>
      <c r="U250" s="83" t="s">
        <v>442</v>
      </c>
      <c r="V250" s="84">
        <v>23</v>
      </c>
      <c r="W250" s="85">
        <v>0.99125533132716515</v>
      </c>
      <c r="X250" s="86">
        <v>0.71410926721058809</v>
      </c>
      <c r="Y250" s="86">
        <v>6.9021117945879049E-2</v>
      </c>
      <c r="Z250" s="85">
        <v>-6.8663464489905157E-4</v>
      </c>
      <c r="AA250" s="86">
        <v>1.6703538781858748E-2</v>
      </c>
      <c r="AB250" s="85">
        <v>-6.9829870438913716E-4</v>
      </c>
      <c r="AC250" s="87">
        <v>0.42358629907014234</v>
      </c>
      <c r="AD250" s="86">
        <v>0.33549336269635954</v>
      </c>
      <c r="AE250" s="86">
        <v>0.33561259971239038</v>
      </c>
      <c r="AG250" s="76"/>
    </row>
    <row r="251" spans="14:33" x14ac:dyDescent="0.3">
      <c r="N251" s="170">
        <v>45273</v>
      </c>
      <c r="O251" s="174">
        <v>74.510000000000005</v>
      </c>
      <c r="P251" s="126">
        <v>2023</v>
      </c>
      <c r="Q251" s="126">
        <v>12</v>
      </c>
      <c r="R251" s="126" t="s">
        <v>271</v>
      </c>
      <c r="T251" s="126">
        <v>2024</v>
      </c>
      <c r="U251" s="126" t="s">
        <v>443</v>
      </c>
      <c r="V251" s="127">
        <v>101</v>
      </c>
      <c r="W251" s="128">
        <v>1.3751593545688363</v>
      </c>
      <c r="X251" s="129">
        <v>0.32604180548581313</v>
      </c>
      <c r="Y251" s="129">
        <v>7.0685214388915923E-2</v>
      </c>
      <c r="Z251" s="128">
        <v>-2.088059131831081E-3</v>
      </c>
      <c r="AA251" s="129">
        <v>6.9065997248052916E-2</v>
      </c>
      <c r="AB251" s="128">
        <v>-2.2429722468601857E-3</v>
      </c>
      <c r="AC251" s="130">
        <v>0.53232665838471771</v>
      </c>
      <c r="AD251" s="129">
        <v>0.46898107338785378</v>
      </c>
      <c r="AE251" s="129">
        <v>0.67572561500427419</v>
      </c>
      <c r="AG251" s="76"/>
    </row>
    <row r="252" spans="14:33" x14ac:dyDescent="0.3">
      <c r="N252" s="171">
        <v>45274</v>
      </c>
      <c r="O252" s="175">
        <v>76.849999999999994</v>
      </c>
      <c r="P252" s="83">
        <v>2023</v>
      </c>
      <c r="Q252" s="83">
        <v>12</v>
      </c>
      <c r="R252" s="83" t="s">
        <v>271</v>
      </c>
      <c r="T252" s="83">
        <v>2024</v>
      </c>
      <c r="U252" s="83" t="s">
        <v>444</v>
      </c>
      <c r="V252" s="84">
        <v>25</v>
      </c>
      <c r="W252" s="85">
        <v>0.95242199691205232</v>
      </c>
      <c r="X252" s="86">
        <v>0.61965646428058319</v>
      </c>
      <c r="Y252" s="86">
        <v>0.14661913030028642</v>
      </c>
      <c r="Z252" s="85">
        <v>-7.6037728676728474E-4</v>
      </c>
      <c r="AA252" s="86">
        <v>3.0228141722146131E-2</v>
      </c>
      <c r="AB252" s="85">
        <v>-7.8407852349683823E-4</v>
      </c>
      <c r="AC252" s="87">
        <v>0.36887938137180137</v>
      </c>
      <c r="AD252" s="86">
        <v>0.24431384085324004</v>
      </c>
      <c r="AE252" s="86">
        <v>8.1676534805838572E-2</v>
      </c>
      <c r="AG252" s="76"/>
    </row>
    <row r="253" spans="14:33" x14ac:dyDescent="0.3">
      <c r="N253" s="170">
        <v>45275</v>
      </c>
      <c r="O253" s="174">
        <v>76.760000000000005</v>
      </c>
      <c r="P253" s="126">
        <v>2023</v>
      </c>
      <c r="Q253" s="126">
        <v>12</v>
      </c>
      <c r="R253" s="126" t="s">
        <v>271</v>
      </c>
      <c r="T253" s="126">
        <v>2024</v>
      </c>
      <c r="U253" s="126" t="s">
        <v>445</v>
      </c>
      <c r="V253" s="127">
        <v>7</v>
      </c>
      <c r="W253" s="128">
        <v>1.3830066711394122</v>
      </c>
      <c r="X253" s="129">
        <v>0.4386501965496456</v>
      </c>
      <c r="Y253" s="129">
        <v>0.12757457269381595</v>
      </c>
      <c r="Z253" s="128">
        <v>-1.5602699590794489E-3</v>
      </c>
      <c r="AA253" s="129">
        <v>7.5671084905858985E-2</v>
      </c>
      <c r="AB253" s="128">
        <v>-1.6880029755647517E-3</v>
      </c>
      <c r="AC253" s="130">
        <v>0.60115667349526181</v>
      </c>
      <c r="AD253" s="129">
        <v>0.42843597130920175</v>
      </c>
      <c r="AE253" s="129">
        <v>0.92832539940835623</v>
      </c>
      <c r="AG253" s="76"/>
    </row>
    <row r="254" spans="14:33" x14ac:dyDescent="0.3">
      <c r="N254" s="171">
        <v>45278</v>
      </c>
      <c r="O254" s="175">
        <v>78.11</v>
      </c>
      <c r="P254" s="83">
        <v>2023</v>
      </c>
      <c r="Q254" s="83">
        <v>12</v>
      </c>
      <c r="R254" s="83" t="s">
        <v>271</v>
      </c>
      <c r="T254" s="83">
        <v>2024</v>
      </c>
      <c r="U254" s="83" t="s">
        <v>446</v>
      </c>
      <c r="V254" s="84">
        <v>48</v>
      </c>
      <c r="W254" s="85">
        <v>0.72500097471023861</v>
      </c>
      <c r="X254" s="86">
        <v>0.77155753730162346</v>
      </c>
      <c r="Y254" s="86">
        <v>0.12298398219937019</v>
      </c>
      <c r="Z254" s="85">
        <v>-4.6478565855317673E-4</v>
      </c>
      <c r="AA254" s="86">
        <v>1.0296600450838659E-2</v>
      </c>
      <c r="AB254" s="85">
        <v>-4.6962116000096607E-4</v>
      </c>
      <c r="AC254" s="87">
        <v>0.25563132543059591</v>
      </c>
      <c r="AD254" s="86">
        <v>0.1717812350329328</v>
      </c>
      <c r="AE254" s="86">
        <v>8.060268856782013E-2</v>
      </c>
      <c r="AG254" s="76"/>
    </row>
    <row r="255" spans="14:33" x14ac:dyDescent="0.3">
      <c r="N255" s="170">
        <v>45279</v>
      </c>
      <c r="O255" s="174">
        <v>79.37</v>
      </c>
      <c r="P255" s="126">
        <v>2023</v>
      </c>
      <c r="Q255" s="126">
        <v>12</v>
      </c>
      <c r="R255" s="126" t="s">
        <v>271</v>
      </c>
      <c r="T255" s="126">
        <v>2024</v>
      </c>
      <c r="U255" s="126" t="s">
        <v>447</v>
      </c>
      <c r="V255" s="127">
        <v>74</v>
      </c>
      <c r="W255" s="128">
        <v>1.2336190389708566</v>
      </c>
      <c r="X255" s="129">
        <v>0.16326322309396255</v>
      </c>
      <c r="Y255" s="129">
        <v>2.8730153469345189E-2</v>
      </c>
      <c r="Z255" s="128">
        <v>-3.7463964351943037E-3</v>
      </c>
      <c r="AA255" s="129">
        <v>7.4262155460789667E-2</v>
      </c>
      <c r="AB255" s="128">
        <v>-4.0469301944321906E-3</v>
      </c>
      <c r="AC255" s="130">
        <v>0.69473279707936642</v>
      </c>
      <c r="AD255" s="129">
        <v>0.72543314545868787</v>
      </c>
      <c r="AE255" s="129">
        <v>0.70819997746631069</v>
      </c>
      <c r="AG255" s="76"/>
    </row>
    <row r="256" spans="14:33" x14ac:dyDescent="0.3">
      <c r="N256" s="171">
        <v>45280</v>
      </c>
      <c r="O256" s="175">
        <v>79.66</v>
      </c>
      <c r="P256" s="83">
        <v>2023</v>
      </c>
      <c r="Q256" s="83">
        <v>12</v>
      </c>
      <c r="R256" s="83" t="s">
        <v>271</v>
      </c>
      <c r="T256" s="83">
        <v>2024</v>
      </c>
      <c r="U256" s="83" t="s">
        <v>494</v>
      </c>
      <c r="V256" s="84">
        <v>20</v>
      </c>
      <c r="W256" s="85">
        <v>1.1148957766881691</v>
      </c>
      <c r="X256" s="86">
        <v>0.42176377073279631</v>
      </c>
      <c r="Y256" s="86">
        <v>9.667014521273086E-2</v>
      </c>
      <c r="Z256" s="85">
        <v>-1.3082128669199063E-3</v>
      </c>
      <c r="AA256" s="86">
        <v>7.3486465244431906E-2</v>
      </c>
      <c r="AB256" s="85">
        <v>-1.4119738329187363E-3</v>
      </c>
      <c r="AC256" s="87">
        <v>0.46065057632470929</v>
      </c>
      <c r="AD256" s="86">
        <v>0.30919744401282184</v>
      </c>
      <c r="AE256" s="86">
        <v>0.12028984478810541</v>
      </c>
      <c r="AG256" s="76"/>
    </row>
    <row r="257" spans="14:33" x14ac:dyDescent="0.3">
      <c r="N257" s="170">
        <v>45281</v>
      </c>
      <c r="O257" s="174">
        <v>79.16</v>
      </c>
      <c r="P257" s="126">
        <v>2023</v>
      </c>
      <c r="Q257" s="126">
        <v>12</v>
      </c>
      <c r="R257" s="126" t="s">
        <v>271</v>
      </c>
      <c r="T257" s="126">
        <v>2024</v>
      </c>
      <c r="U257" s="126" t="s">
        <v>448</v>
      </c>
      <c r="V257" s="127">
        <v>223</v>
      </c>
      <c r="W257" s="128">
        <v>1.063376043005491</v>
      </c>
      <c r="X257" s="129">
        <v>0.7732793309077326</v>
      </c>
      <c r="Y257" s="129">
        <v>3.3816563274859365E-2</v>
      </c>
      <c r="Z257" s="128">
        <v>-6.801932167321324E-4</v>
      </c>
      <c r="AA257" s="129">
        <v>1.8257812982754706E-2</v>
      </c>
      <c r="AB257" s="128">
        <v>-6.9284301492504173E-4</v>
      </c>
      <c r="AC257" s="130">
        <v>0.30827746956501079</v>
      </c>
      <c r="AD257" s="129">
        <v>0.21541532639566627</v>
      </c>
      <c r="AE257" s="129">
        <v>0.20589119125697528</v>
      </c>
      <c r="AG257" s="76"/>
    </row>
    <row r="258" spans="14:33" x14ac:dyDescent="0.3">
      <c r="N258" s="171">
        <v>45282</v>
      </c>
      <c r="O258" s="175">
        <v>78.8</v>
      </c>
      <c r="P258" s="83">
        <v>2023</v>
      </c>
      <c r="Q258" s="83">
        <v>12</v>
      </c>
      <c r="R258" s="83" t="s">
        <v>271</v>
      </c>
      <c r="T258" s="83">
        <v>2024</v>
      </c>
      <c r="U258" s="83" t="s">
        <v>449</v>
      </c>
      <c r="V258" s="84">
        <v>18</v>
      </c>
      <c r="W258" s="85">
        <v>1.5166924498761216</v>
      </c>
      <c r="X258" s="86">
        <v>1.1255656150447586</v>
      </c>
      <c r="Y258" s="86">
        <v>6.6640216513095124E-2</v>
      </c>
      <c r="Z258" s="85">
        <v>-6.6637945045909964E-4</v>
      </c>
      <c r="AA258" s="86">
        <v>6.9451076941643597E-2</v>
      </c>
      <c r="AB258" s="85">
        <v>-7.1611436427110862E-4</v>
      </c>
      <c r="AC258" s="87">
        <v>0.59355605001762235</v>
      </c>
      <c r="AD258" s="86">
        <v>0.51250635002105183</v>
      </c>
      <c r="AE258" s="86">
        <v>0.69874259684071827</v>
      </c>
      <c r="AG258" s="76"/>
    </row>
    <row r="259" spans="14:33" x14ac:dyDescent="0.3">
      <c r="N259" s="170">
        <v>45285</v>
      </c>
      <c r="O259" s="174">
        <v>78.8</v>
      </c>
      <c r="P259" s="126">
        <v>2023</v>
      </c>
      <c r="Q259" s="126">
        <v>12</v>
      </c>
      <c r="R259" s="126" t="s">
        <v>271</v>
      </c>
      <c r="T259" s="126">
        <v>2024</v>
      </c>
      <c r="U259" s="126" t="s">
        <v>486</v>
      </c>
      <c r="V259" s="127">
        <v>12</v>
      </c>
      <c r="W259" s="128">
        <v>0.78980297684164968</v>
      </c>
      <c r="X259" s="129">
        <v>0.39818801240908047</v>
      </c>
      <c r="Y259" s="129">
        <v>9.3712951646556686E-2</v>
      </c>
      <c r="Z259" s="128">
        <v>-9.8168956704168813E-4</v>
      </c>
      <c r="AA259" s="129">
        <v>8.5365153569522081E-2</v>
      </c>
      <c r="AB259" s="128">
        <v>-1.0733131050854917E-3</v>
      </c>
      <c r="AC259" s="130">
        <v>0.52646194832496207</v>
      </c>
      <c r="AD259" s="129">
        <v>0.28661749273612586</v>
      </c>
      <c r="AE259" s="129">
        <v>1.118865944697315</v>
      </c>
      <c r="AG259" s="76"/>
    </row>
    <row r="260" spans="14:33" x14ac:dyDescent="0.3">
      <c r="N260" s="171">
        <v>45286</v>
      </c>
      <c r="O260" s="175">
        <v>80.849999999999994</v>
      </c>
      <c r="P260" s="83">
        <v>2023</v>
      </c>
      <c r="Q260" s="83">
        <v>12</v>
      </c>
      <c r="R260" s="83" t="s">
        <v>271</v>
      </c>
      <c r="T260" s="83">
        <v>2024</v>
      </c>
      <c r="U260" s="83" t="s">
        <v>450</v>
      </c>
      <c r="V260" s="84">
        <v>60</v>
      </c>
      <c r="W260" s="85">
        <v>1.3454843302112593</v>
      </c>
      <c r="X260" s="86">
        <v>1.0925740752439148</v>
      </c>
      <c r="Y260" s="86">
        <v>5.4661662502489834E-2</v>
      </c>
      <c r="Z260" s="85">
        <v>-6.0901558043048056E-4</v>
      </c>
      <c r="AA260" s="86">
        <v>8.1379435050841789E-2</v>
      </c>
      <c r="AB260" s="85">
        <v>-6.6296750112946473E-4</v>
      </c>
      <c r="AC260" s="87">
        <v>0.53687989020006788</v>
      </c>
      <c r="AD260" s="86">
        <v>0.44434220453063733</v>
      </c>
      <c r="AE260" s="86">
        <v>1.2181846340506288</v>
      </c>
      <c r="AG260" s="76"/>
    </row>
    <row r="261" spans="14:33" x14ac:dyDescent="0.3">
      <c r="N261" s="170">
        <v>45287</v>
      </c>
      <c r="O261" s="174">
        <v>79.540000000000006</v>
      </c>
      <c r="P261" s="126">
        <v>2023</v>
      </c>
      <c r="Q261" s="126">
        <v>12</v>
      </c>
      <c r="R261" s="126" t="s">
        <v>271</v>
      </c>
      <c r="T261" s="126">
        <v>2024</v>
      </c>
      <c r="U261" s="126" t="s">
        <v>451</v>
      </c>
      <c r="V261" s="127">
        <v>57</v>
      </c>
      <c r="W261" s="128">
        <v>1.4179809441636479</v>
      </c>
      <c r="X261" s="129">
        <v>0.52060538651449051</v>
      </c>
      <c r="Y261" s="129">
        <v>9.4928845466662873E-2</v>
      </c>
      <c r="Z261" s="128">
        <v>-1.3476540272026577E-3</v>
      </c>
      <c r="AA261" s="129">
        <v>5.1786361462363033E-2</v>
      </c>
      <c r="AB261" s="128">
        <v>-1.4212556879914207E-3</v>
      </c>
      <c r="AC261" s="130">
        <v>0.59392595484122634</v>
      </c>
      <c r="AD261" s="129">
        <v>0.42131153923229786</v>
      </c>
      <c r="AE261" s="129">
        <v>0.18303595298722516</v>
      </c>
      <c r="AG261" s="76"/>
    </row>
    <row r="262" spans="14:33" x14ac:dyDescent="0.3">
      <c r="N262" s="171">
        <v>45288</v>
      </c>
      <c r="O262" s="175">
        <v>77.150000000000006</v>
      </c>
      <c r="P262" s="83">
        <v>2023</v>
      </c>
      <c r="Q262" s="83">
        <v>12</v>
      </c>
      <c r="R262" s="83" t="s">
        <v>271</v>
      </c>
      <c r="T262" s="83">
        <v>2024</v>
      </c>
      <c r="U262" s="83" t="s">
        <v>452</v>
      </c>
      <c r="V262" s="84">
        <v>1</v>
      </c>
      <c r="W262" s="85">
        <v>0.82924820341635141</v>
      </c>
      <c r="X262" s="86">
        <v>0.45098674687154305</v>
      </c>
      <c r="Y262" s="86">
        <v>6.4829821717990274E-2</v>
      </c>
      <c r="Z262" s="85">
        <v>-9.0991569778552616E-4</v>
      </c>
      <c r="AA262" s="86">
        <v>0.25486977918133502</v>
      </c>
      <c r="AB262" s="85">
        <v>-1.2211499042218601E-3</v>
      </c>
      <c r="AC262" s="87">
        <v>0.20758239974021755</v>
      </c>
      <c r="AD262" s="86">
        <v>0.1936761567443839</v>
      </c>
      <c r="AE262" s="86">
        <v>0.21772502996630683</v>
      </c>
      <c r="AG262" s="76"/>
    </row>
    <row r="263" spans="14:33" x14ac:dyDescent="0.3">
      <c r="N263" s="170">
        <v>45289</v>
      </c>
      <c r="O263" s="174">
        <v>77.040000000000006</v>
      </c>
      <c r="P263" s="126">
        <v>2023</v>
      </c>
      <c r="Q263" s="126">
        <v>12</v>
      </c>
      <c r="R263" s="126" t="s">
        <v>271</v>
      </c>
      <c r="T263" s="126">
        <v>2024</v>
      </c>
      <c r="U263" s="126" t="s">
        <v>487</v>
      </c>
      <c r="V263" s="127">
        <v>70</v>
      </c>
      <c r="W263" s="128">
        <v>1.4103978688180479</v>
      </c>
      <c r="X263" s="129">
        <v>0.30775437210884488</v>
      </c>
      <c r="Y263" s="129">
        <v>8.5443306117611847E-2</v>
      </c>
      <c r="Z263" s="128">
        <v>-2.2690269483890612E-3</v>
      </c>
      <c r="AA263" s="129">
        <v>1.7235635807217261E-2</v>
      </c>
      <c r="AB263" s="128">
        <v>-2.3088209453471396E-3</v>
      </c>
      <c r="AC263" s="130">
        <v>0.47491971300906011</v>
      </c>
      <c r="AD263" s="129">
        <v>0.41147053391609606</v>
      </c>
      <c r="AE263" s="129">
        <v>0.16308151930383236</v>
      </c>
      <c r="AG263" s="76"/>
    </row>
    <row r="264" spans="14:33" x14ac:dyDescent="0.3">
      <c r="N264" s="171">
        <v>45292</v>
      </c>
      <c r="O264" s="175">
        <v>77.040000000000006</v>
      </c>
      <c r="P264" s="83">
        <v>2024</v>
      </c>
      <c r="Q264" s="83">
        <v>1</v>
      </c>
      <c r="R264" s="83" t="s">
        <v>369</v>
      </c>
      <c r="T264" s="83">
        <v>2024</v>
      </c>
      <c r="U264" s="83" t="s">
        <v>453</v>
      </c>
      <c r="V264" s="84">
        <v>30</v>
      </c>
      <c r="W264" s="85">
        <v>1.5201925121768585</v>
      </c>
      <c r="X264" s="86">
        <v>0.57486804158388638</v>
      </c>
      <c r="Y264" s="86">
        <v>0.15838509352594998</v>
      </c>
      <c r="Z264" s="85">
        <v>-1.3083024078459366E-3</v>
      </c>
      <c r="AA264" s="86">
        <v>1.8942366151700137E-2</v>
      </c>
      <c r="AB264" s="85">
        <v>-1.3335632512373257E-3</v>
      </c>
      <c r="AC264" s="87">
        <v>0.49581621015003191</v>
      </c>
      <c r="AD264" s="86">
        <v>0.35710895966484529</v>
      </c>
      <c r="AE264" s="86">
        <v>0.31378397990022294</v>
      </c>
      <c r="AG264" s="76"/>
    </row>
    <row r="265" spans="14:33" x14ac:dyDescent="0.3">
      <c r="N265" s="170">
        <v>45293</v>
      </c>
      <c r="O265" s="174">
        <v>75.89</v>
      </c>
      <c r="P265" s="126">
        <v>2024</v>
      </c>
      <c r="Q265" s="126">
        <v>1</v>
      </c>
      <c r="R265" s="126" t="s">
        <v>369</v>
      </c>
      <c r="T265" s="126">
        <v>2024</v>
      </c>
      <c r="U265" s="126" t="s">
        <v>454</v>
      </c>
      <c r="V265" s="127">
        <v>15</v>
      </c>
      <c r="W265" s="128">
        <v>1.7891723510222548</v>
      </c>
      <c r="X265" s="129">
        <v>0.21213527708387048</v>
      </c>
      <c r="Y265" s="129">
        <v>0.13391716018934746</v>
      </c>
      <c r="Z265" s="128">
        <v>-4.1788479473944635E-3</v>
      </c>
      <c r="AA265" s="129">
        <v>1.4968542835664624E-2</v>
      </c>
      <c r="AB265" s="128">
        <v>-4.2423497412197829E-3</v>
      </c>
      <c r="AC265" s="130">
        <v>0.47081751593532822</v>
      </c>
      <c r="AD265" s="129">
        <v>0.37546183716654358</v>
      </c>
      <c r="AE265" s="129">
        <v>0.33819679970227606</v>
      </c>
      <c r="AG265" s="76"/>
    </row>
    <row r="266" spans="14:33" x14ac:dyDescent="0.3">
      <c r="N266" s="171">
        <v>45294</v>
      </c>
      <c r="O266" s="175">
        <v>78.25</v>
      </c>
      <c r="P266" s="83">
        <v>2024</v>
      </c>
      <c r="Q266" s="83">
        <v>1</v>
      </c>
      <c r="R266" s="83" t="s">
        <v>369</v>
      </c>
      <c r="T266" s="83">
        <v>2024</v>
      </c>
      <c r="U266" s="83" t="s">
        <v>455</v>
      </c>
      <c r="V266" s="84">
        <v>69</v>
      </c>
      <c r="W266" s="85">
        <v>1.2752456934388758</v>
      </c>
      <c r="X266" s="86">
        <v>0.39567295890000159</v>
      </c>
      <c r="Y266" s="86">
        <v>0.13594643894000899</v>
      </c>
      <c r="Z266" s="85">
        <v>-1.5951609764598244E-3</v>
      </c>
      <c r="AA266" s="86">
        <v>2.2524354628298306E-2</v>
      </c>
      <c r="AB266" s="85">
        <v>-1.6319188964071195E-3</v>
      </c>
      <c r="AC266" s="87">
        <v>0.46193491376213663</v>
      </c>
      <c r="AD266" s="86">
        <v>0.37083010776240061</v>
      </c>
      <c r="AE266" s="86">
        <v>0.25350519996716575</v>
      </c>
      <c r="AG266" s="76"/>
    </row>
    <row r="267" spans="14:33" x14ac:dyDescent="0.3">
      <c r="N267" s="170">
        <v>45295</v>
      </c>
      <c r="O267" s="174">
        <v>77.59</v>
      </c>
      <c r="P267" s="126">
        <v>2024</v>
      </c>
      <c r="Q267" s="126">
        <v>1</v>
      </c>
      <c r="R267" s="126" t="s">
        <v>369</v>
      </c>
      <c r="T267" s="126">
        <v>2024</v>
      </c>
      <c r="U267" s="126" t="s">
        <v>456</v>
      </c>
      <c r="V267" s="127">
        <v>15</v>
      </c>
      <c r="W267" s="128">
        <v>1.3632136186935628</v>
      </c>
      <c r="X267" s="129">
        <v>0.19969640536769256</v>
      </c>
      <c r="Y267" s="129">
        <v>0.21259763765231698</v>
      </c>
      <c r="Z267" s="128">
        <v>-3.3827830255472729E-3</v>
      </c>
      <c r="AA267" s="129">
        <v>2.8245545382027257E-2</v>
      </c>
      <c r="AB267" s="128">
        <v>-3.4811088433622374E-3</v>
      </c>
      <c r="AC267" s="130">
        <v>0.34600452314885843</v>
      </c>
      <c r="AD267" s="129">
        <v>0.31528080319313112</v>
      </c>
      <c r="AE267" s="129">
        <v>0.11083736572099039</v>
      </c>
      <c r="AG267" s="76"/>
    </row>
    <row r="268" spans="14:33" x14ac:dyDescent="0.3">
      <c r="N268" s="171">
        <v>45296</v>
      </c>
      <c r="O268" s="175">
        <v>78.760000000000005</v>
      </c>
      <c r="P268" s="83">
        <v>2024</v>
      </c>
      <c r="Q268" s="83">
        <v>1</v>
      </c>
      <c r="R268" s="83" t="s">
        <v>369</v>
      </c>
      <c r="T268" s="83">
        <v>2024</v>
      </c>
      <c r="U268" s="83" t="s">
        <v>457</v>
      </c>
      <c r="V268" s="84">
        <v>13</v>
      </c>
      <c r="W268" s="85">
        <v>0.66756973306313983</v>
      </c>
      <c r="X268" s="86">
        <v>0.65817573533732865</v>
      </c>
      <c r="Y268" s="86">
        <v>0.16454371176768529</v>
      </c>
      <c r="Z268" s="85">
        <v>-5.0174745967362824E-4</v>
      </c>
      <c r="AA268" s="86">
        <v>5.5436020108825777E-2</v>
      </c>
      <c r="AB268" s="85">
        <v>-5.3119478442469927E-4</v>
      </c>
      <c r="AC268" s="87">
        <v>0.44427105868248346</v>
      </c>
      <c r="AD268" s="86">
        <v>0.28264661461127033</v>
      </c>
      <c r="AE268" s="86">
        <v>0.28502567449807581</v>
      </c>
      <c r="AG268" s="76"/>
    </row>
    <row r="269" spans="14:33" x14ac:dyDescent="0.3">
      <c r="N269" s="170">
        <v>45299</v>
      </c>
      <c r="O269" s="174">
        <v>76.12</v>
      </c>
      <c r="P269" s="126">
        <v>2024</v>
      </c>
      <c r="Q269" s="126">
        <v>1</v>
      </c>
      <c r="R269" s="126" t="s">
        <v>369</v>
      </c>
      <c r="T269" s="126">
        <v>2024</v>
      </c>
      <c r="U269" s="126" t="s">
        <v>488</v>
      </c>
      <c r="V269" s="127">
        <v>63</v>
      </c>
      <c r="W269" s="128">
        <v>1.4871300694613425</v>
      </c>
      <c r="X269" s="129">
        <v>0.19174447188057428</v>
      </c>
      <c r="Y269" s="129">
        <v>4.0941719858048488E-2</v>
      </c>
      <c r="Z269" s="128">
        <v>-3.8437158364702712E-3</v>
      </c>
      <c r="AA269" s="129">
        <v>4.1175209963425691E-2</v>
      </c>
      <c r="AB269" s="128">
        <v>-4.0087781171403098E-3</v>
      </c>
      <c r="AC269" s="130">
        <v>0.70248693277034457</v>
      </c>
      <c r="AD269" s="129">
        <v>0.59410388760758681</v>
      </c>
      <c r="AE269" s="129">
        <v>0.77434468390971001</v>
      </c>
      <c r="AG269" s="76"/>
    </row>
    <row r="270" spans="14:33" x14ac:dyDescent="0.3">
      <c r="N270" s="171">
        <v>45300</v>
      </c>
      <c r="O270" s="175">
        <v>77.59</v>
      </c>
      <c r="P270" s="83">
        <v>2024</v>
      </c>
      <c r="Q270" s="83">
        <v>1</v>
      </c>
      <c r="R270" s="83" t="s">
        <v>369</v>
      </c>
      <c r="T270" s="83">
        <v>2024</v>
      </c>
      <c r="U270" s="83" t="s">
        <v>458</v>
      </c>
      <c r="V270" s="84">
        <v>78</v>
      </c>
      <c r="W270" s="85">
        <v>1.4752073825450458</v>
      </c>
      <c r="X270" s="86">
        <v>0.39158372922601853</v>
      </c>
      <c r="Y270" s="86">
        <v>0.15019349979060045</v>
      </c>
      <c r="Z270" s="85">
        <v>-1.8645804821926359E-3</v>
      </c>
      <c r="AA270" s="86">
        <v>4.0041704683196455E-2</v>
      </c>
      <c r="AB270" s="85">
        <v>-1.9423557161692016E-3</v>
      </c>
      <c r="AC270" s="87">
        <v>0.50878132822016209</v>
      </c>
      <c r="AD270" s="86">
        <v>0.38585905225789641</v>
      </c>
      <c r="AE270" s="86">
        <v>0.22316138846103836</v>
      </c>
      <c r="AG270" s="76"/>
    </row>
    <row r="271" spans="14:33" x14ac:dyDescent="0.3">
      <c r="N271" s="170">
        <v>45301</v>
      </c>
      <c r="O271" s="174">
        <v>76.8</v>
      </c>
      <c r="P271" s="126">
        <v>2024</v>
      </c>
      <c r="Q271" s="126">
        <v>1</v>
      </c>
      <c r="R271" s="126" t="s">
        <v>369</v>
      </c>
      <c r="T271" s="126">
        <v>2024</v>
      </c>
      <c r="U271" s="126" t="s">
        <v>459</v>
      </c>
      <c r="V271" s="127">
        <v>3</v>
      </c>
      <c r="W271" s="128">
        <v>0.83801497962970528</v>
      </c>
      <c r="X271" s="129">
        <v>3.303339604619385</v>
      </c>
      <c r="Y271" s="129">
        <v>0</v>
      </c>
      <c r="Z271" s="128">
        <v>-1.2542025167160841E-4</v>
      </c>
      <c r="AA271" s="129">
        <v>9.9691021624217765E-2</v>
      </c>
      <c r="AB271" s="128">
        <v>-1.3930800945457077E-4</v>
      </c>
      <c r="AC271" s="130">
        <v>0.45026186402653628</v>
      </c>
      <c r="AD271" s="129">
        <v>0.39785998397496214</v>
      </c>
      <c r="AE271" s="129">
        <v>0.50671998615050307</v>
      </c>
      <c r="AG271" s="76"/>
    </row>
    <row r="272" spans="14:33" x14ac:dyDescent="0.3">
      <c r="N272" s="171">
        <v>45302</v>
      </c>
      <c r="O272" s="175">
        <v>77.41</v>
      </c>
      <c r="P272" s="83">
        <v>2024</v>
      </c>
      <c r="Q272" s="83">
        <v>1</v>
      </c>
      <c r="R272" s="83" t="s">
        <v>369</v>
      </c>
      <c r="T272" s="83">
        <v>2024</v>
      </c>
      <c r="U272" s="83" t="s">
        <v>460</v>
      </c>
      <c r="V272" s="84">
        <v>68</v>
      </c>
      <c r="W272" s="85">
        <v>1.6077462586340689</v>
      </c>
      <c r="X272" s="86">
        <v>0.11265628382191657</v>
      </c>
      <c r="Y272" s="86">
        <v>8.1819268803683717E-2</v>
      </c>
      <c r="Z272" s="85">
        <v>-7.0855897311045135E-3</v>
      </c>
      <c r="AA272" s="86">
        <v>3.3748762158634794E-2</v>
      </c>
      <c r="AB272" s="85">
        <v>-7.3330718281240572E-3</v>
      </c>
      <c r="AC272" s="87">
        <v>0.48933792335067938</v>
      </c>
      <c r="AD272" s="86">
        <v>0.38404265117692143</v>
      </c>
      <c r="AE272" s="86">
        <v>0.38437761380903246</v>
      </c>
      <c r="AG272" s="76"/>
    </row>
    <row r="273" spans="14:33" x14ac:dyDescent="0.3">
      <c r="N273" s="170">
        <v>45303</v>
      </c>
      <c r="O273" s="174">
        <v>78.290000000000006</v>
      </c>
      <c r="P273" s="126">
        <v>2024</v>
      </c>
      <c r="Q273" s="126">
        <v>1</v>
      </c>
      <c r="R273" s="126" t="s">
        <v>369</v>
      </c>
      <c r="T273" s="126">
        <v>2024</v>
      </c>
      <c r="U273" s="126" t="s">
        <v>461</v>
      </c>
      <c r="V273" s="127">
        <v>30</v>
      </c>
      <c r="W273" s="128">
        <v>1.757142721715889</v>
      </c>
      <c r="X273" s="129">
        <v>0.11786824757584162</v>
      </c>
      <c r="Y273" s="129">
        <v>0.10936898430604083</v>
      </c>
      <c r="Z273" s="128">
        <v>-7.4001325845110422E-3</v>
      </c>
      <c r="AA273" s="129">
        <v>4.4292965648447258E-2</v>
      </c>
      <c r="AB273" s="128">
        <v>-7.7430973284946386E-3</v>
      </c>
      <c r="AC273" s="130">
        <v>0.43513373450191689</v>
      </c>
      <c r="AD273" s="129">
        <v>0.41568723029676519</v>
      </c>
      <c r="AE273" s="129">
        <v>0.68492909182567563</v>
      </c>
      <c r="AG273" s="76"/>
    </row>
    <row r="274" spans="14:33" x14ac:dyDescent="0.3">
      <c r="N274" s="171">
        <v>45306</v>
      </c>
      <c r="O274" s="175">
        <v>77.81</v>
      </c>
      <c r="P274" s="83">
        <v>2024</v>
      </c>
      <c r="Q274" s="83">
        <v>1</v>
      </c>
      <c r="R274" s="83" t="s">
        <v>369</v>
      </c>
      <c r="T274" s="83">
        <v>2024</v>
      </c>
      <c r="U274" s="83" t="s">
        <v>462</v>
      </c>
      <c r="V274" s="84">
        <v>8</v>
      </c>
      <c r="W274" s="85">
        <v>0.94373863184759688</v>
      </c>
      <c r="X274" s="86">
        <v>0.3901857569968924</v>
      </c>
      <c r="Y274" s="86">
        <v>6.2322052474713847E-2</v>
      </c>
      <c r="Z274" s="85">
        <v>-1.1971125464519316E-3</v>
      </c>
      <c r="AA274" s="86">
        <v>6.4392129906350806E-2</v>
      </c>
      <c r="AB274" s="85">
        <v>-1.2795024333560889E-3</v>
      </c>
      <c r="AC274" s="87">
        <v>0.48932323828475571</v>
      </c>
      <c r="AD274" s="86">
        <v>0.4116087861322939</v>
      </c>
      <c r="AE274" s="86">
        <v>0.82998630361021086</v>
      </c>
      <c r="AG274" s="76"/>
    </row>
    <row r="275" spans="14:33" x14ac:dyDescent="0.3">
      <c r="N275" s="170">
        <v>45307</v>
      </c>
      <c r="O275" s="174">
        <v>77.87</v>
      </c>
      <c r="P275" s="126">
        <v>2024</v>
      </c>
      <c r="Q275" s="126">
        <v>1</v>
      </c>
      <c r="R275" s="126" t="s">
        <v>369</v>
      </c>
      <c r="T275" s="126">
        <v>2024</v>
      </c>
      <c r="U275" s="126" t="s">
        <v>463</v>
      </c>
      <c r="V275" s="127">
        <v>13</v>
      </c>
      <c r="W275" s="128">
        <v>1.3276925338648697</v>
      </c>
      <c r="X275" s="129">
        <v>9.0140655527445976E-2</v>
      </c>
      <c r="Y275" s="129">
        <v>0.10698367731914769</v>
      </c>
      <c r="Z275" s="128">
        <v>-7.3209774013513326E-3</v>
      </c>
      <c r="AA275" s="129">
        <v>3.4958749410353512E-2</v>
      </c>
      <c r="AB275" s="128">
        <v>-7.5861807947361498E-3</v>
      </c>
      <c r="AC275" s="130">
        <v>0.50846345784953806</v>
      </c>
      <c r="AD275" s="129">
        <v>0.39374185918980237</v>
      </c>
      <c r="AE275" s="129">
        <v>0.28270790197149448</v>
      </c>
      <c r="AG275" s="76"/>
    </row>
    <row r="276" spans="14:33" x14ac:dyDescent="0.3">
      <c r="N276" s="171">
        <v>45308</v>
      </c>
      <c r="O276" s="175">
        <v>77.489999999999995</v>
      </c>
      <c r="P276" s="83">
        <v>2024</v>
      </c>
      <c r="Q276" s="83">
        <v>1</v>
      </c>
      <c r="R276" s="83" t="s">
        <v>369</v>
      </c>
      <c r="T276" s="83">
        <v>2024</v>
      </c>
      <c r="U276" s="83" t="s">
        <v>489</v>
      </c>
      <c r="V276" s="84">
        <v>91</v>
      </c>
      <c r="W276" s="85">
        <v>1.363575730964357</v>
      </c>
      <c r="X276" s="86">
        <v>4.8025373159782218E-2</v>
      </c>
      <c r="Y276" s="86">
        <v>3.81657195507904E-2</v>
      </c>
      <c r="Z276" s="85">
        <v>-1.4180968775737098E-2</v>
      </c>
      <c r="AA276" s="86">
        <v>3.071817066284499E-2</v>
      </c>
      <c r="AB276" s="85">
        <v>-1.4630387516327194E-2</v>
      </c>
      <c r="AC276" s="87">
        <v>0.68715521572849525</v>
      </c>
      <c r="AD276" s="86">
        <v>0.58709543871584413</v>
      </c>
      <c r="AE276" s="86">
        <v>0.69136710073580343</v>
      </c>
      <c r="AG276" s="76"/>
    </row>
    <row r="277" spans="14:33" x14ac:dyDescent="0.3">
      <c r="N277" s="170">
        <v>45309</v>
      </c>
      <c r="O277" s="174">
        <v>78.650000000000006</v>
      </c>
      <c r="P277" s="126">
        <v>2024</v>
      </c>
      <c r="Q277" s="126">
        <v>1</v>
      </c>
      <c r="R277" s="126" t="s">
        <v>369</v>
      </c>
      <c r="T277" s="126">
        <v>2024</v>
      </c>
      <c r="U277" s="126" t="s">
        <v>490</v>
      </c>
      <c r="V277" s="127">
        <v>33</v>
      </c>
      <c r="W277" s="128">
        <v>1.5513058877107246</v>
      </c>
      <c r="X277" s="129">
        <v>0.17655464364745466</v>
      </c>
      <c r="Y277" s="129">
        <v>2.3650263887898121E-2</v>
      </c>
      <c r="Z277" s="128">
        <v>-4.3555203853145943E-3</v>
      </c>
      <c r="AA277" s="129">
        <v>3.2900020588293027E-2</v>
      </c>
      <c r="AB277" s="128">
        <v>-4.503691942961352E-3</v>
      </c>
      <c r="AC277" s="130">
        <v>0.66054972489796726</v>
      </c>
      <c r="AD277" s="129">
        <v>0.55243837546789154</v>
      </c>
      <c r="AE277" s="129">
        <v>0.91090042469556987</v>
      </c>
      <c r="AG277" s="76"/>
    </row>
    <row r="278" spans="14:33" x14ac:dyDescent="0.3">
      <c r="N278" s="171">
        <v>45310</v>
      </c>
      <c r="O278" s="175">
        <v>78.08</v>
      </c>
      <c r="P278" s="83">
        <v>2024</v>
      </c>
      <c r="Q278" s="83">
        <v>1</v>
      </c>
      <c r="R278" s="83" t="s">
        <v>369</v>
      </c>
      <c r="T278" s="83">
        <v>2024</v>
      </c>
      <c r="U278" s="83" t="s">
        <v>491</v>
      </c>
      <c r="V278" s="84">
        <v>390</v>
      </c>
      <c r="W278" s="85">
        <v>1.4697712402478267</v>
      </c>
      <c r="X278" s="86">
        <v>9.3648717927364691E-2</v>
      </c>
      <c r="Y278" s="86">
        <v>3.395114353447462E-2</v>
      </c>
      <c r="Z278" s="85">
        <v>-7.7992075439619508E-3</v>
      </c>
      <c r="AA278" s="86">
        <v>2.8066077148274141E-2</v>
      </c>
      <c r="AB278" s="85">
        <v>-8.0244215790704169E-3</v>
      </c>
      <c r="AC278" s="87">
        <v>0.61640664366461584</v>
      </c>
      <c r="AD278" s="86">
        <v>0.52111210183577161</v>
      </c>
      <c r="AE278" s="86">
        <v>0.32240159372913141</v>
      </c>
      <c r="AG278" s="76"/>
    </row>
    <row r="279" spans="14:33" x14ac:dyDescent="0.3">
      <c r="N279" s="170">
        <v>45313</v>
      </c>
      <c r="O279" s="174">
        <v>79.599999999999994</v>
      </c>
      <c r="P279" s="126">
        <v>2024</v>
      </c>
      <c r="Q279" s="126">
        <v>1</v>
      </c>
      <c r="R279" s="126" t="s">
        <v>369</v>
      </c>
      <c r="T279" s="126">
        <v>2024</v>
      </c>
      <c r="U279" s="126" t="s">
        <v>464</v>
      </c>
      <c r="V279" s="127">
        <v>28</v>
      </c>
      <c r="W279" s="128">
        <v>1.3424843767995962</v>
      </c>
      <c r="X279" s="129">
        <v>0.28595102522701571</v>
      </c>
      <c r="Y279" s="129">
        <v>0.14954162997616205</v>
      </c>
      <c r="Z279" s="128">
        <v>-2.3247331130650363E-3</v>
      </c>
      <c r="AA279" s="129">
        <v>8.8354278552709387E-2</v>
      </c>
      <c r="AB279" s="128">
        <v>-2.5500400631227526E-3</v>
      </c>
      <c r="AC279" s="130">
        <v>0.39412504778160207</v>
      </c>
      <c r="AD279" s="129">
        <v>0.38298957011173351</v>
      </c>
      <c r="AE279" s="129">
        <v>1.0458573404445946</v>
      </c>
      <c r="AG279" s="76"/>
    </row>
    <row r="280" spans="14:33" x14ac:dyDescent="0.3">
      <c r="N280" s="171">
        <v>45314</v>
      </c>
      <c r="O280" s="175">
        <v>79.11</v>
      </c>
      <c r="P280" s="83">
        <v>2024</v>
      </c>
      <c r="Q280" s="83">
        <v>1</v>
      </c>
      <c r="R280" s="83" t="s">
        <v>369</v>
      </c>
      <c r="T280" s="83">
        <v>2024</v>
      </c>
      <c r="U280" s="83" t="s">
        <v>465</v>
      </c>
      <c r="V280" s="84">
        <v>16</v>
      </c>
      <c r="W280" s="85">
        <v>1.0309737102652559</v>
      </c>
      <c r="X280" s="86">
        <v>0.65154486787819843</v>
      </c>
      <c r="Y280" s="86">
        <v>3.8302283114982148E-2</v>
      </c>
      <c r="Z280" s="85">
        <v>-7.8277508927175089E-4</v>
      </c>
      <c r="AA280" s="86">
        <v>2.6437164736179304E-2</v>
      </c>
      <c r="AB280" s="85">
        <v>-8.0403139984244645E-4</v>
      </c>
      <c r="AC280" s="87">
        <v>0.57247177566553797</v>
      </c>
      <c r="AD280" s="86">
        <v>0.51921047688999544</v>
      </c>
      <c r="AE280" s="86">
        <v>0.69459138128869891</v>
      </c>
      <c r="AG280" s="76"/>
    </row>
    <row r="281" spans="14:33" x14ac:dyDescent="0.3">
      <c r="N281" s="170">
        <v>45315</v>
      </c>
      <c r="O281" s="174">
        <v>79.63</v>
      </c>
      <c r="P281" s="126">
        <v>2024</v>
      </c>
      <c r="Q281" s="126">
        <v>1</v>
      </c>
      <c r="R281" s="126" t="s">
        <v>369</v>
      </c>
      <c r="T281" s="126">
        <v>2024</v>
      </c>
      <c r="U281" s="126" t="s">
        <v>466</v>
      </c>
      <c r="V281" s="127">
        <v>79</v>
      </c>
      <c r="W281" s="128">
        <v>1.2331194872073334</v>
      </c>
      <c r="X281" s="129">
        <v>0.11678322018549975</v>
      </c>
      <c r="Y281" s="129">
        <v>4.0571929767536014E-2</v>
      </c>
      <c r="Z281" s="128">
        <v>-5.2416859588882581E-3</v>
      </c>
      <c r="AA281" s="129">
        <v>3.7911016791603691E-2</v>
      </c>
      <c r="AB281" s="128">
        <v>-5.4482340514992325E-3</v>
      </c>
      <c r="AC281" s="130">
        <v>0.52733004943012662</v>
      </c>
      <c r="AD281" s="129">
        <v>0.41348753948301459</v>
      </c>
      <c r="AE281" s="129">
        <v>0.13611769117236694</v>
      </c>
      <c r="AG281" s="76"/>
    </row>
    <row r="282" spans="14:33" x14ac:dyDescent="0.3">
      <c r="N282" s="171">
        <v>45316</v>
      </c>
      <c r="O282" s="175">
        <v>81.96</v>
      </c>
      <c r="P282" s="83">
        <v>2024</v>
      </c>
      <c r="Q282" s="83">
        <v>1</v>
      </c>
      <c r="R282" s="83" t="s">
        <v>369</v>
      </c>
      <c r="T282" s="83">
        <v>2024</v>
      </c>
      <c r="U282" s="83" t="s">
        <v>467</v>
      </c>
      <c r="V282" s="84">
        <v>49</v>
      </c>
      <c r="W282" s="85">
        <v>0.88226816528565966</v>
      </c>
      <c r="X282" s="86">
        <v>1.1771759919284781</v>
      </c>
      <c r="Y282" s="86">
        <v>6.5368083078363712E-2</v>
      </c>
      <c r="Z282" s="85">
        <v>-3.7063440867843539E-4</v>
      </c>
      <c r="AA282" s="86">
        <v>1.125298621890258E-2</v>
      </c>
      <c r="AB282" s="85">
        <v>-3.7485262004593176E-4</v>
      </c>
      <c r="AC282" s="87">
        <v>0.55540262125092421</v>
      </c>
      <c r="AD282" s="86">
        <v>0.55371695621592376</v>
      </c>
      <c r="AE282" s="86">
        <v>0.22217299283269712</v>
      </c>
      <c r="AG282" s="76"/>
    </row>
    <row r="283" spans="14:33" x14ac:dyDescent="0.3">
      <c r="N283" s="170">
        <v>45317</v>
      </c>
      <c r="O283" s="174">
        <v>82.95</v>
      </c>
      <c r="P283" s="126">
        <v>2024</v>
      </c>
      <c r="Q283" s="126">
        <v>1</v>
      </c>
      <c r="R283" s="126" t="s">
        <v>369</v>
      </c>
      <c r="T283" s="126">
        <v>2024</v>
      </c>
      <c r="U283" s="126" t="s">
        <v>468</v>
      </c>
      <c r="V283" s="127">
        <v>15</v>
      </c>
      <c r="W283" s="128">
        <v>2.0004565028386407</v>
      </c>
      <c r="X283" s="129">
        <v>0.24055401059949102</v>
      </c>
      <c r="Y283" s="129">
        <v>9.8330509025201351E-2</v>
      </c>
      <c r="Z283" s="128">
        <v>-4.1192104399497796E-3</v>
      </c>
      <c r="AA283" s="129">
        <v>2.8404796925753654E-2</v>
      </c>
      <c r="AB283" s="128">
        <v>-4.2396364524197863E-3</v>
      </c>
      <c r="AC283" s="130">
        <v>0.60634881653940054</v>
      </c>
      <c r="AD283" s="129">
        <v>0.44059235658259677</v>
      </c>
      <c r="AE283" s="129">
        <v>7.6952134781070936E-2</v>
      </c>
      <c r="AG283" s="76"/>
    </row>
    <row r="284" spans="14:33" x14ac:dyDescent="0.3">
      <c r="N284" s="171">
        <v>45320</v>
      </c>
      <c r="O284" s="175">
        <v>81.83</v>
      </c>
      <c r="P284" s="83">
        <v>2024</v>
      </c>
      <c r="Q284" s="83">
        <v>1</v>
      </c>
      <c r="R284" s="83" t="s">
        <v>369</v>
      </c>
      <c r="T284" s="83">
        <v>2024</v>
      </c>
      <c r="U284" s="83" t="s">
        <v>492</v>
      </c>
      <c r="V284" s="84">
        <v>18</v>
      </c>
      <c r="W284" s="85">
        <v>1.058265749430396</v>
      </c>
      <c r="X284" s="86">
        <v>0.29510151487454073</v>
      </c>
      <c r="Y284" s="86">
        <v>0.16385816650202897</v>
      </c>
      <c r="Z284" s="85">
        <v>-1.7756423799842568E-3</v>
      </c>
      <c r="AA284" s="86">
        <v>6.2843539003580931E-2</v>
      </c>
      <c r="AB284" s="85">
        <v>-1.8947128402618371E-3</v>
      </c>
      <c r="AC284" s="87">
        <v>0.47892861786444119</v>
      </c>
      <c r="AD284" s="86">
        <v>0.28046286808958065</v>
      </c>
      <c r="AE284" s="86">
        <v>0.26963358611053628</v>
      </c>
      <c r="AG284" s="76"/>
    </row>
    <row r="285" spans="14:33" x14ac:dyDescent="0.3">
      <c r="N285" s="170">
        <v>45321</v>
      </c>
      <c r="O285" s="174">
        <v>82.5</v>
      </c>
      <c r="P285" s="126">
        <v>2024</v>
      </c>
      <c r="Q285" s="126">
        <v>1</v>
      </c>
      <c r="R285" s="126" t="s">
        <v>369</v>
      </c>
      <c r="T285" s="126">
        <v>2024</v>
      </c>
      <c r="U285" s="126" t="s">
        <v>493</v>
      </c>
      <c r="V285" s="127">
        <v>4</v>
      </c>
      <c r="W285" s="128">
        <v>1.1078308621714459</v>
      </c>
      <c r="X285" s="129">
        <v>0.27451205147789459</v>
      </c>
      <c r="Y285" s="129">
        <v>0.16567959676788763</v>
      </c>
      <c r="Z285" s="128">
        <v>-1.9984758427334924E-3</v>
      </c>
      <c r="AA285" s="129">
        <v>1.4686917256493601E-2</v>
      </c>
      <c r="AB285" s="128">
        <v>-2.0282648000257289E-3</v>
      </c>
      <c r="AC285" s="130">
        <v>0.22719138715983178</v>
      </c>
      <c r="AD285" s="129">
        <v>0.16341269092106181</v>
      </c>
      <c r="AE285" s="129">
        <v>0.11810856266876285</v>
      </c>
      <c r="AG285" s="76"/>
    </row>
    <row r="286" spans="14:33" x14ac:dyDescent="0.3">
      <c r="N286" s="171">
        <v>45322</v>
      </c>
      <c r="O286" s="175">
        <v>80.55</v>
      </c>
      <c r="P286" s="83">
        <v>2024</v>
      </c>
      <c r="Q286" s="83">
        <v>1</v>
      </c>
      <c r="R286" s="83" t="s">
        <v>369</v>
      </c>
      <c r="T286" s="83">
        <v>2024</v>
      </c>
      <c r="U286" s="83" t="s">
        <v>469</v>
      </c>
      <c r="V286" s="84">
        <v>35</v>
      </c>
      <c r="W286" s="85">
        <v>1.5451244708853058</v>
      </c>
      <c r="X286" s="86">
        <v>0.43913586539321359</v>
      </c>
      <c r="Y286" s="86">
        <v>0.14785932618179476</v>
      </c>
      <c r="Z286" s="85">
        <v>-1.7412367329173767E-3</v>
      </c>
      <c r="AA286" s="86">
        <v>5.7218077552788967E-2</v>
      </c>
      <c r="AB286" s="85">
        <v>-1.8469135772115671E-3</v>
      </c>
      <c r="AC286" s="87">
        <v>0.44581530141043629</v>
      </c>
      <c r="AD286" s="86">
        <v>0.41171324567018758</v>
      </c>
      <c r="AE286" s="86">
        <v>1.5003843688997927</v>
      </c>
      <c r="AG286" s="76"/>
    </row>
    <row r="287" spans="14:33" x14ac:dyDescent="0.3">
      <c r="N287" s="170">
        <v>45323</v>
      </c>
      <c r="O287" s="174">
        <v>78.7</v>
      </c>
      <c r="P287" s="126">
        <v>2024</v>
      </c>
      <c r="Q287" s="126">
        <v>2</v>
      </c>
      <c r="R287" s="126" t="s">
        <v>369</v>
      </c>
      <c r="T287" s="126">
        <v>2024</v>
      </c>
      <c r="U287" s="126" t="s">
        <v>470</v>
      </c>
      <c r="V287" s="127">
        <v>15</v>
      </c>
      <c r="W287" s="128">
        <v>0.63513941960164833</v>
      </c>
      <c r="X287" s="129">
        <v>0.74175003502026149</v>
      </c>
      <c r="Y287" s="129">
        <v>0.13203047748326249</v>
      </c>
      <c r="Z287" s="128">
        <v>-4.235504305977697E-4</v>
      </c>
      <c r="AA287" s="129">
        <v>3.3127957239668755E-3</v>
      </c>
      <c r="AB287" s="128">
        <v>-4.249582304063243E-4</v>
      </c>
      <c r="AC287" s="130">
        <v>0.15608401947167233</v>
      </c>
      <c r="AD287" s="129">
        <v>0.1497076220101746</v>
      </c>
      <c r="AE287" s="129">
        <v>9.3615784474097866E-2</v>
      </c>
      <c r="AG287" s="76"/>
    </row>
    <row r="288" spans="14:33" x14ac:dyDescent="0.3">
      <c r="N288" s="171">
        <v>45324</v>
      </c>
      <c r="O288" s="175">
        <v>77.33</v>
      </c>
      <c r="P288" s="83">
        <v>2024</v>
      </c>
      <c r="Q288" s="83">
        <v>2</v>
      </c>
      <c r="R288" s="83" t="s">
        <v>369</v>
      </c>
      <c r="T288" s="83">
        <v>2024</v>
      </c>
      <c r="U288" s="83" t="s">
        <v>471</v>
      </c>
      <c r="V288" s="84">
        <v>16</v>
      </c>
      <c r="W288" s="85">
        <v>1.1524153536245123</v>
      </c>
      <c r="X288" s="86">
        <v>0.43396475885206598</v>
      </c>
      <c r="Y288" s="86">
        <v>8.4454307614074048E-2</v>
      </c>
      <c r="Z288" s="85">
        <v>-1.31417639700142E-3</v>
      </c>
      <c r="AA288" s="86">
        <v>3.5347974849298789E-3</v>
      </c>
      <c r="AB288" s="85">
        <v>-1.3188382230352345E-3</v>
      </c>
      <c r="AC288" s="87">
        <v>0.36551319134525267</v>
      </c>
      <c r="AD288" s="86">
        <v>0.41373294388583098</v>
      </c>
      <c r="AE288" s="86">
        <v>0.13746671306527883</v>
      </c>
      <c r="AG288" s="76"/>
    </row>
    <row r="289" spans="14:33" x14ac:dyDescent="0.3">
      <c r="N289" s="170">
        <v>45327</v>
      </c>
      <c r="O289" s="174">
        <v>77.989999999999995</v>
      </c>
      <c r="P289" s="126">
        <v>2024</v>
      </c>
      <c r="Q289" s="126">
        <v>2</v>
      </c>
      <c r="R289" s="126" t="s">
        <v>369</v>
      </c>
      <c r="T289" s="126">
        <v>2024</v>
      </c>
      <c r="U289" s="126" t="s">
        <v>472</v>
      </c>
      <c r="V289" s="127">
        <v>7165</v>
      </c>
      <c r="W289" s="128">
        <v>1.1572702941885729</v>
      </c>
      <c r="X289" s="129">
        <v>0.53521978693922112</v>
      </c>
      <c r="Y289" s="129">
        <v>7.5197838058014305E-2</v>
      </c>
      <c r="Z289" s="128">
        <v>-1.0698134422120161E-3</v>
      </c>
      <c r="AA289" s="129">
        <v>6.6630317524362631E-2</v>
      </c>
      <c r="AB289" s="128">
        <v>-1.146184049362392E-3</v>
      </c>
      <c r="AC289" s="130">
        <v>0.48324484898520542</v>
      </c>
      <c r="AD289" s="129">
        <v>0.41373294388583098</v>
      </c>
      <c r="AE289" s="129">
        <v>0.1900788202618873</v>
      </c>
      <c r="AG289" s="76"/>
    </row>
    <row r="290" spans="14:33" x14ac:dyDescent="0.3">
      <c r="N290" s="171">
        <v>45328</v>
      </c>
      <c r="O290" s="175">
        <v>78.59</v>
      </c>
      <c r="P290" s="83">
        <v>2024</v>
      </c>
      <c r="Q290" s="83">
        <v>2</v>
      </c>
      <c r="R290" s="83" t="s">
        <v>369</v>
      </c>
      <c r="T290" s="83">
        <v>2024</v>
      </c>
      <c r="U290" s="83" t="s">
        <v>495</v>
      </c>
      <c r="V290" s="84">
        <v>5649</v>
      </c>
      <c r="W290" s="85">
        <v>1.292817025743946</v>
      </c>
      <c r="X290" s="86">
        <v>0.26398867839831808</v>
      </c>
      <c r="Y290" s="86">
        <v>6.3846780495244726E-2</v>
      </c>
      <c r="Z290" s="85">
        <v>-2.425324486010023E-3</v>
      </c>
      <c r="AA290" s="86">
        <v>3.7516689774389836E-2</v>
      </c>
      <c r="AB290" s="85">
        <v>-2.5198613422621496E-3</v>
      </c>
      <c r="AC290" s="87">
        <v>0.55752138057019252</v>
      </c>
      <c r="AD290" s="86">
        <v>0.47976813197581314</v>
      </c>
      <c r="AE290" s="86">
        <v>0.18503610455341124</v>
      </c>
      <c r="AG290" s="76"/>
    </row>
    <row r="291" spans="14:33" x14ac:dyDescent="0.3">
      <c r="N291" s="170">
        <v>45329</v>
      </c>
      <c r="O291" s="174">
        <v>79.209999999999994</v>
      </c>
      <c r="P291" s="126">
        <v>2024</v>
      </c>
      <c r="Q291" s="126">
        <v>2</v>
      </c>
      <c r="R291" s="126" t="s">
        <v>369</v>
      </c>
      <c r="AG291" s="76"/>
    </row>
    <row r="292" spans="14:33" x14ac:dyDescent="0.3">
      <c r="N292" s="171">
        <v>45330</v>
      </c>
      <c r="O292" s="175">
        <v>81.63</v>
      </c>
      <c r="P292" s="83">
        <v>2024</v>
      </c>
      <c r="Q292" s="83">
        <v>2</v>
      </c>
      <c r="R292" s="83" t="s">
        <v>369</v>
      </c>
      <c r="AG292" s="76"/>
    </row>
    <row r="293" spans="14:33" x14ac:dyDescent="0.3">
      <c r="N293" s="170">
        <v>45331</v>
      </c>
      <c r="O293" s="174">
        <v>82.19</v>
      </c>
      <c r="P293" s="126">
        <v>2024</v>
      </c>
      <c r="Q293" s="126">
        <v>2</v>
      </c>
      <c r="R293" s="126" t="s">
        <v>369</v>
      </c>
      <c r="AG293" s="76"/>
    </row>
    <row r="294" spans="14:33" x14ac:dyDescent="0.3">
      <c r="N294" s="171">
        <v>45334</v>
      </c>
      <c r="O294" s="175">
        <v>82</v>
      </c>
      <c r="P294" s="83">
        <v>2024</v>
      </c>
      <c r="Q294" s="83">
        <v>2</v>
      </c>
      <c r="R294" s="83" t="s">
        <v>369</v>
      </c>
      <c r="AG294" s="76"/>
    </row>
    <row r="295" spans="14:33" x14ac:dyDescent="0.3">
      <c r="N295" s="170">
        <v>45335</v>
      </c>
      <c r="O295" s="174">
        <v>82.77</v>
      </c>
      <c r="P295" s="126">
        <v>2024</v>
      </c>
      <c r="Q295" s="126">
        <v>2</v>
      </c>
      <c r="R295" s="126" t="s">
        <v>369</v>
      </c>
      <c r="AG295" s="76"/>
    </row>
    <row r="296" spans="14:33" x14ac:dyDescent="0.3">
      <c r="N296" s="171">
        <v>45336</v>
      </c>
      <c r="O296" s="175">
        <v>80.989999999999995</v>
      </c>
      <c r="P296" s="83">
        <v>2024</v>
      </c>
      <c r="Q296" s="83">
        <v>2</v>
      </c>
      <c r="R296" s="83" t="s">
        <v>369</v>
      </c>
      <c r="AG296" s="76"/>
    </row>
    <row r="297" spans="14:33" x14ac:dyDescent="0.3">
      <c r="N297" s="170">
        <v>45337</v>
      </c>
      <c r="O297" s="174">
        <v>82.16</v>
      </c>
      <c r="P297" s="126">
        <v>2024</v>
      </c>
      <c r="Q297" s="126">
        <v>2</v>
      </c>
      <c r="R297" s="126" t="s">
        <v>369</v>
      </c>
      <c r="AG297" s="76"/>
    </row>
    <row r="298" spans="14:33" x14ac:dyDescent="0.3">
      <c r="N298" s="171">
        <v>45338</v>
      </c>
      <c r="O298" s="175">
        <v>82.74</v>
      </c>
      <c r="P298" s="83">
        <v>2024</v>
      </c>
      <c r="Q298" s="83">
        <v>2</v>
      </c>
      <c r="R298" s="83" t="s">
        <v>369</v>
      </c>
      <c r="AG298" s="76"/>
    </row>
    <row r="299" spans="14:33" x14ac:dyDescent="0.3">
      <c r="N299" s="170">
        <v>45341</v>
      </c>
      <c r="O299" s="174">
        <v>82.73</v>
      </c>
      <c r="P299" s="126">
        <v>2024</v>
      </c>
      <c r="Q299" s="126">
        <v>2</v>
      </c>
      <c r="R299" s="126" t="s">
        <v>369</v>
      </c>
      <c r="AG299" s="76"/>
    </row>
    <row r="300" spans="14:33" x14ac:dyDescent="0.3">
      <c r="N300" s="171">
        <v>45342</v>
      </c>
      <c r="O300" s="175">
        <v>81.5</v>
      </c>
      <c r="P300" s="83">
        <v>2024</v>
      </c>
      <c r="Q300" s="83">
        <v>2</v>
      </c>
      <c r="R300" s="83" t="s">
        <v>369</v>
      </c>
      <c r="AG300" s="76"/>
    </row>
    <row r="301" spans="14:33" x14ac:dyDescent="0.3">
      <c r="N301" s="170">
        <v>45343</v>
      </c>
      <c r="O301" s="174">
        <v>82.11</v>
      </c>
      <c r="P301" s="126">
        <v>2024</v>
      </c>
      <c r="Q301" s="126">
        <v>2</v>
      </c>
      <c r="R301" s="126" t="s">
        <v>369</v>
      </c>
      <c r="AG301" s="76"/>
    </row>
    <row r="302" spans="14:33" x14ac:dyDescent="0.3">
      <c r="N302" s="171">
        <v>45344</v>
      </c>
      <c r="O302" s="175">
        <v>82.7</v>
      </c>
      <c r="P302" s="83">
        <v>2024</v>
      </c>
      <c r="Q302" s="83">
        <v>2</v>
      </c>
      <c r="R302" s="83" t="s">
        <v>369</v>
      </c>
      <c r="AG302" s="76"/>
    </row>
    <row r="303" spans="14:33" x14ac:dyDescent="0.3">
      <c r="N303" s="170">
        <v>45345</v>
      </c>
      <c r="O303" s="174">
        <v>80.8</v>
      </c>
      <c r="P303" s="126">
        <v>2024</v>
      </c>
      <c r="Q303" s="126">
        <v>2</v>
      </c>
      <c r="R303" s="126" t="s">
        <v>369</v>
      </c>
      <c r="AG303" s="76"/>
    </row>
    <row r="304" spans="14:33" x14ac:dyDescent="0.3">
      <c r="N304" s="171">
        <v>45348</v>
      </c>
      <c r="O304" s="175">
        <v>81.67</v>
      </c>
      <c r="P304" s="83">
        <v>2024</v>
      </c>
      <c r="Q304" s="83">
        <v>2</v>
      </c>
      <c r="R304" s="83" t="s">
        <v>369</v>
      </c>
      <c r="AG304" s="76"/>
    </row>
    <row r="305" spans="14:35" x14ac:dyDescent="0.3">
      <c r="N305" s="170">
        <v>45349</v>
      </c>
      <c r="O305" s="174">
        <v>82.66</v>
      </c>
      <c r="P305" s="126">
        <v>2024</v>
      </c>
      <c r="Q305" s="126">
        <v>2</v>
      </c>
      <c r="R305" s="126" t="s">
        <v>369</v>
      </c>
      <c r="AG305" s="76"/>
    </row>
    <row r="306" spans="14:35" x14ac:dyDescent="0.3">
      <c r="N306" s="171">
        <v>45350</v>
      </c>
      <c r="O306" s="175">
        <v>82.15</v>
      </c>
      <c r="P306" s="83">
        <v>2024</v>
      </c>
      <c r="Q306" s="83">
        <v>2</v>
      </c>
      <c r="R306" s="83" t="s">
        <v>369</v>
      </c>
      <c r="AG306" s="76"/>
    </row>
    <row r="307" spans="14:35" x14ac:dyDescent="0.3">
      <c r="N307" s="170">
        <v>45351</v>
      </c>
      <c r="O307" s="174">
        <v>81.91</v>
      </c>
      <c r="P307" s="126">
        <v>2024</v>
      </c>
      <c r="Q307" s="126">
        <v>2</v>
      </c>
      <c r="R307" s="126" t="s">
        <v>369</v>
      </c>
      <c r="AG307" s="76"/>
    </row>
    <row r="308" spans="14:35" x14ac:dyDescent="0.3">
      <c r="N308" s="171">
        <v>45352</v>
      </c>
      <c r="O308" s="175">
        <v>83.55</v>
      </c>
      <c r="P308" s="83">
        <v>2024</v>
      </c>
      <c r="Q308" s="83">
        <v>3</v>
      </c>
      <c r="R308" s="83" t="s">
        <v>369</v>
      </c>
      <c r="AG308" s="76"/>
    </row>
    <row r="309" spans="14:35" x14ac:dyDescent="0.3">
      <c r="N309" s="170">
        <v>45355</v>
      </c>
      <c r="O309" s="174">
        <v>82.8</v>
      </c>
      <c r="P309" s="126">
        <v>2024</v>
      </c>
      <c r="Q309" s="126">
        <v>3</v>
      </c>
      <c r="R309" s="126" t="s">
        <v>369</v>
      </c>
      <c r="AG309" s="76"/>
    </row>
    <row r="310" spans="14:35" x14ac:dyDescent="0.3">
      <c r="N310" s="171">
        <v>45356</v>
      </c>
      <c r="O310" s="175">
        <v>82.04</v>
      </c>
      <c r="P310" s="83">
        <v>2024</v>
      </c>
      <c r="Q310" s="83">
        <v>3</v>
      </c>
      <c r="R310" s="83" t="s">
        <v>369</v>
      </c>
      <c r="AG310" s="76"/>
    </row>
    <row r="311" spans="14:35" x14ac:dyDescent="0.3">
      <c r="N311" s="170">
        <v>45357</v>
      </c>
      <c r="O311" s="174">
        <v>82.96</v>
      </c>
      <c r="P311" s="126">
        <v>2024</v>
      </c>
      <c r="Q311" s="126">
        <v>3</v>
      </c>
      <c r="R311" s="126" t="s">
        <v>369</v>
      </c>
      <c r="AG311" s="76"/>
    </row>
    <row r="312" spans="14:35" x14ac:dyDescent="0.3">
      <c r="N312" s="171">
        <v>45358</v>
      </c>
      <c r="O312" s="175">
        <v>82.96</v>
      </c>
      <c r="P312" s="83">
        <v>2024</v>
      </c>
      <c r="Q312" s="83">
        <v>3</v>
      </c>
      <c r="R312" s="83" t="s">
        <v>369</v>
      </c>
      <c r="AG312" s="76"/>
    </row>
    <row r="313" spans="14:35" x14ac:dyDescent="0.3">
      <c r="N313" s="170">
        <v>45359</v>
      </c>
      <c r="O313" s="174">
        <v>82.08</v>
      </c>
      <c r="P313" s="126">
        <v>2024</v>
      </c>
      <c r="Q313" s="126">
        <v>3</v>
      </c>
      <c r="R313" s="126" t="s">
        <v>369</v>
      </c>
      <c r="AG313" s="76"/>
    </row>
    <row r="314" spans="14:35" x14ac:dyDescent="0.3">
      <c r="N314" s="171">
        <v>45362</v>
      </c>
      <c r="O314" s="175">
        <v>82.21</v>
      </c>
      <c r="P314" s="83">
        <v>2024</v>
      </c>
      <c r="Q314" s="83">
        <v>3</v>
      </c>
      <c r="R314" s="83" t="s">
        <v>369</v>
      </c>
      <c r="AG314" s="76"/>
      <c r="AI314" s="182"/>
    </row>
    <row r="315" spans="14:35" x14ac:dyDescent="0.3">
      <c r="N315" s="170">
        <v>45363</v>
      </c>
      <c r="O315" s="174">
        <v>81.92</v>
      </c>
      <c r="P315" s="126">
        <v>2024</v>
      </c>
      <c r="Q315" s="126">
        <v>3</v>
      </c>
      <c r="R315" s="126" t="s">
        <v>369</v>
      </c>
      <c r="AG315" s="76"/>
      <c r="AI315" s="182"/>
    </row>
    <row r="316" spans="14:35" x14ac:dyDescent="0.3">
      <c r="N316" s="171">
        <v>45364</v>
      </c>
      <c r="O316" s="175">
        <v>84.03</v>
      </c>
      <c r="P316" s="83">
        <v>2024</v>
      </c>
      <c r="Q316" s="83">
        <v>3</v>
      </c>
      <c r="R316" s="83" t="s">
        <v>369</v>
      </c>
      <c r="AG316" s="76"/>
      <c r="AI316" s="182"/>
    </row>
    <row r="317" spans="14:35" x14ac:dyDescent="0.3">
      <c r="N317" s="170">
        <v>45365</v>
      </c>
      <c r="O317" s="174">
        <v>85.42</v>
      </c>
      <c r="P317" s="126">
        <v>2024</v>
      </c>
      <c r="Q317" s="126">
        <v>3</v>
      </c>
      <c r="R317" s="126" t="s">
        <v>369</v>
      </c>
      <c r="AG317" s="76"/>
      <c r="AI317" s="182"/>
    </row>
    <row r="318" spans="14:35" x14ac:dyDescent="0.3">
      <c r="N318" s="171">
        <v>45366</v>
      </c>
      <c r="O318" s="175">
        <v>84.75</v>
      </c>
      <c r="P318" s="83">
        <v>2024</v>
      </c>
      <c r="Q318" s="83">
        <v>3</v>
      </c>
      <c r="R318" s="83" t="s">
        <v>369</v>
      </c>
      <c r="AG318" s="76"/>
      <c r="AI318" s="182"/>
    </row>
    <row r="319" spans="14:35" x14ac:dyDescent="0.3">
      <c r="N319" s="68"/>
      <c r="AG319" s="76"/>
      <c r="AI319" s="182"/>
    </row>
    <row r="320" spans="14:35" x14ac:dyDescent="0.3">
      <c r="N320" s="68"/>
      <c r="AG320" s="76"/>
      <c r="AI320" s="182"/>
    </row>
    <row r="321" spans="14:35" x14ac:dyDescent="0.3">
      <c r="N321" s="68"/>
      <c r="AG321" s="76"/>
      <c r="AI321" s="182"/>
    </row>
    <row r="322" spans="14:35" x14ac:dyDescent="0.3">
      <c r="N322" s="68"/>
      <c r="AG322" s="76"/>
      <c r="AI322" s="182"/>
    </row>
    <row r="323" spans="14:35" x14ac:dyDescent="0.3">
      <c r="N323" s="68"/>
      <c r="AG323" s="76"/>
      <c r="AI323" s="182"/>
    </row>
    <row r="324" spans="14:35" x14ac:dyDescent="0.3">
      <c r="N324" s="68"/>
      <c r="AG324" s="76"/>
      <c r="AI324" s="182"/>
    </row>
    <row r="325" spans="14:35" x14ac:dyDescent="0.3">
      <c r="N325" s="68"/>
      <c r="AG325" s="76"/>
      <c r="AI325" s="182"/>
    </row>
    <row r="326" spans="14:35" x14ac:dyDescent="0.3">
      <c r="N326" s="68"/>
      <c r="AG326" s="76"/>
      <c r="AI326" s="182"/>
    </row>
    <row r="327" spans="14:35" x14ac:dyDescent="0.3">
      <c r="N327" s="68"/>
      <c r="AI327" s="182"/>
    </row>
    <row r="328" spans="14:35" x14ac:dyDescent="0.3">
      <c r="N328" s="68"/>
      <c r="AI328" s="182"/>
    </row>
    <row r="329" spans="14:35" x14ac:dyDescent="0.3">
      <c r="N329" s="68"/>
      <c r="AI329" s="182"/>
    </row>
    <row r="330" spans="14:35" x14ac:dyDescent="0.3">
      <c r="N330" s="68"/>
      <c r="AI330" s="182"/>
    </row>
    <row r="331" spans="14:35" x14ac:dyDescent="0.3">
      <c r="N331" s="68"/>
      <c r="AI331" s="182"/>
    </row>
    <row r="332" spans="14:35" x14ac:dyDescent="0.3">
      <c r="N332" s="68"/>
      <c r="AI332" s="182"/>
    </row>
    <row r="333" spans="14:35" x14ac:dyDescent="0.3">
      <c r="N333" s="68"/>
      <c r="AI333" s="182"/>
    </row>
    <row r="334" spans="14:35" x14ac:dyDescent="0.3">
      <c r="N334" s="68"/>
      <c r="AI334" s="182"/>
    </row>
    <row r="335" spans="14:35" x14ac:dyDescent="0.3">
      <c r="N335" s="68"/>
      <c r="AI335" s="182"/>
    </row>
    <row r="336" spans="14:35" x14ac:dyDescent="0.3">
      <c r="N336" s="68"/>
      <c r="AI336" s="182"/>
    </row>
    <row r="337" spans="14:35" x14ac:dyDescent="0.3">
      <c r="N337" s="68"/>
      <c r="AI337" s="182"/>
    </row>
    <row r="338" spans="14:35" x14ac:dyDescent="0.3">
      <c r="N338" s="68"/>
      <c r="AI338" s="182"/>
    </row>
    <row r="339" spans="14:35" x14ac:dyDescent="0.3">
      <c r="N339" s="68"/>
      <c r="AI339" s="182"/>
    </row>
    <row r="340" spans="14:35" x14ac:dyDescent="0.3">
      <c r="N340" s="68"/>
      <c r="AI340" s="182"/>
    </row>
    <row r="341" spans="14:35" x14ac:dyDescent="0.3">
      <c r="N341" s="68"/>
      <c r="AI341" s="182"/>
    </row>
    <row r="342" spans="14:35" x14ac:dyDescent="0.3">
      <c r="N342" s="68"/>
      <c r="AI342" s="182"/>
    </row>
    <row r="343" spans="14:35" x14ac:dyDescent="0.3">
      <c r="N343" s="68"/>
    </row>
    <row r="344" spans="14:35" x14ac:dyDescent="0.3">
      <c r="N344" s="68"/>
      <c r="AI344" s="182"/>
    </row>
    <row r="345" spans="14:35" x14ac:dyDescent="0.3">
      <c r="N345" s="68"/>
    </row>
    <row r="346" spans="14:35" x14ac:dyDescent="0.3">
      <c r="N346" s="68"/>
    </row>
    <row r="347" spans="14:35" x14ac:dyDescent="0.3">
      <c r="N347" s="68"/>
    </row>
    <row r="348" spans="14:35" x14ac:dyDescent="0.3">
      <c r="N348" s="68"/>
    </row>
    <row r="349" spans="14:35" x14ac:dyDescent="0.3">
      <c r="N349" s="68"/>
    </row>
    <row r="350" spans="14:35" x14ac:dyDescent="0.3">
      <c r="N350" s="68"/>
    </row>
  </sheetData>
  <phoneticPr fontId="19" type="noConversion"/>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1E3B3-012B-4B2A-BFE7-89353FEAC178}">
  <sheetPr>
    <tabColor rgb="FF7030A0"/>
    <pageSetUpPr fitToPage="1"/>
  </sheetPr>
  <dimension ref="A1:AF66"/>
  <sheetViews>
    <sheetView showGridLines="0" zoomScale="85" zoomScaleNormal="85" zoomScaleSheetLayoutView="85" workbookViewId="0">
      <selection activeCell="Q21" sqref="Q21"/>
    </sheetView>
  </sheetViews>
  <sheetFormatPr defaultRowHeight="14.4" x14ac:dyDescent="0.3"/>
  <cols>
    <col min="1" max="1" width="5.77734375" bestFit="1" customWidth="1"/>
    <col min="2" max="2" width="1.77734375" customWidth="1"/>
    <col min="3" max="3" width="9.6640625" customWidth="1"/>
    <col min="4" max="4" width="1.77734375" customWidth="1"/>
    <col min="5" max="5" width="9.6640625" customWidth="1"/>
    <col min="6" max="6" width="1.77734375" customWidth="1"/>
    <col min="7" max="7" width="9.6640625" customWidth="1"/>
    <col min="8" max="8" width="1.77734375" customWidth="1"/>
    <col min="9" max="9" width="9.6640625" customWidth="1"/>
    <col min="10" max="10" width="1.77734375" customWidth="1"/>
    <col min="11" max="11" width="13.44140625" customWidth="1"/>
    <col min="12" max="12" width="1.77734375" customWidth="1"/>
    <col min="13" max="13" width="13.44140625" customWidth="1"/>
    <col min="14" max="14" width="1.77734375" customWidth="1"/>
    <col min="15" max="15" width="14.6640625" customWidth="1"/>
    <col min="16" max="16" width="1.77734375" customWidth="1"/>
    <col min="17" max="17" width="14.6640625" customWidth="1"/>
    <col min="18" max="18" width="1.77734375" customWidth="1"/>
    <col min="19" max="19" width="14.6640625" customWidth="1"/>
    <col min="20" max="20" width="1.77734375" customWidth="1"/>
    <col min="21" max="21" width="14.6640625" customWidth="1"/>
    <col min="22" max="22" width="1.77734375" customWidth="1"/>
    <col min="23" max="23" width="14.77734375" bestFit="1" customWidth="1"/>
    <col min="24" max="24" width="1.77734375" customWidth="1"/>
    <col min="25" max="25" width="14.6640625" customWidth="1"/>
    <col min="26" max="26" width="1.77734375" customWidth="1"/>
    <col min="27" max="27" width="14.6640625" customWidth="1"/>
    <col min="28" max="28" width="1.77734375" customWidth="1"/>
    <col min="29" max="29" width="14.6640625" customWidth="1"/>
  </cols>
  <sheetData>
    <row r="1" spans="1:32" x14ac:dyDescent="0.3">
      <c r="A1" s="226" t="s">
        <v>55</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32" x14ac:dyDescent="0.3">
      <c r="A2" s="226" t="s">
        <v>63</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32" x14ac:dyDescent="0.3">
      <c r="A3" s="226" t="s">
        <v>24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32" x14ac:dyDescent="0.3">
      <c r="A4" s="226" t="s">
        <v>718</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row>
    <row r="5" spans="1:32" x14ac:dyDescent="0.3">
      <c r="A5" s="226" t="s">
        <v>62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32" x14ac:dyDescent="0.3">
      <c r="A6" s="226" t="s">
        <v>87</v>
      </c>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32" x14ac:dyDescent="0.3">
      <c r="A7" s="226" t="s">
        <v>25</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row>
    <row r="8" spans="1:32" x14ac:dyDescent="0.3">
      <c r="A8" s="226" t="s">
        <v>26</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row>
    <row r="9" spans="1:32" x14ac:dyDescent="0.3">
      <c r="A9" s="226" t="s">
        <v>27</v>
      </c>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row>
    <row r="10" spans="1:32" x14ac:dyDescent="0.3">
      <c r="A10" s="226" t="s">
        <v>719</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32" x14ac:dyDescent="0.3">
      <c r="A11" s="226" t="s">
        <v>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row>
    <row r="12" spans="1:32" x14ac:dyDescent="0.3">
      <c r="A12" s="226" t="s">
        <v>5</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row>
    <row r="13" spans="1:32" x14ac:dyDescent="0.3">
      <c r="A13" s="226" t="s">
        <v>5</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row>
    <row r="14" spans="1:32" x14ac:dyDescent="0.3">
      <c r="K14" s="227"/>
      <c r="L14" s="14"/>
      <c r="M14" s="14"/>
    </row>
    <row r="15" spans="1:32" x14ac:dyDescent="0.3">
      <c r="C15" s="227" t="s">
        <v>31</v>
      </c>
      <c r="D15" s="14"/>
      <c r="E15" s="14"/>
      <c r="G15" s="227" t="s">
        <v>37</v>
      </c>
      <c r="H15" s="14"/>
      <c r="I15" s="14"/>
      <c r="K15" s="227" t="s">
        <v>76</v>
      </c>
      <c r="L15" s="14"/>
      <c r="M15" s="14"/>
    </row>
    <row r="16" spans="1:32" x14ac:dyDescent="0.3">
      <c r="C16" s="228" t="s">
        <v>52</v>
      </c>
      <c r="D16" s="15"/>
      <c r="E16" s="15"/>
      <c r="G16" s="228" t="s">
        <v>52</v>
      </c>
      <c r="H16" s="15"/>
      <c r="I16" s="15"/>
      <c r="K16" s="228" t="s">
        <v>77</v>
      </c>
      <c r="L16" s="15"/>
      <c r="M16" s="15"/>
      <c r="O16" s="229" t="s">
        <v>28</v>
      </c>
      <c r="Q16" s="229" t="s">
        <v>14</v>
      </c>
      <c r="AA16" s="229" t="s">
        <v>28</v>
      </c>
      <c r="AC16" s="229" t="s">
        <v>29</v>
      </c>
      <c r="AE16" s="9" t="s">
        <v>14</v>
      </c>
      <c r="AF16" s="9"/>
    </row>
    <row r="17" spans="1:32" x14ac:dyDescent="0.3">
      <c r="E17" s="229" t="s">
        <v>30</v>
      </c>
      <c r="I17" s="229" t="s">
        <v>30</v>
      </c>
      <c r="M17" s="229" t="s">
        <v>30</v>
      </c>
      <c r="O17" s="229" t="s">
        <v>31</v>
      </c>
      <c r="Q17" s="229" t="s">
        <v>33</v>
      </c>
      <c r="S17" s="229" t="s">
        <v>34</v>
      </c>
      <c r="U17" s="229" t="s">
        <v>35</v>
      </c>
      <c r="W17" s="229" t="s">
        <v>36</v>
      </c>
      <c r="AA17" s="229" t="s">
        <v>37</v>
      </c>
      <c r="AC17" s="229" t="s">
        <v>38</v>
      </c>
      <c r="AE17" s="9" t="s">
        <v>33</v>
      </c>
      <c r="AF17" s="9"/>
    </row>
    <row r="18" spans="1:32" x14ac:dyDescent="0.3">
      <c r="C18" s="229" t="s">
        <v>39</v>
      </c>
      <c r="E18" s="229" t="s">
        <v>40</v>
      </c>
      <c r="G18" s="229" t="s">
        <v>39</v>
      </c>
      <c r="I18" s="229" t="s">
        <v>40</v>
      </c>
      <c r="K18" s="229" t="s">
        <v>39</v>
      </c>
      <c r="M18" s="229" t="s">
        <v>40</v>
      </c>
      <c r="O18" s="229" t="s">
        <v>41</v>
      </c>
      <c r="Q18" s="229" t="s">
        <v>32</v>
      </c>
      <c r="S18" s="229" t="s">
        <v>42</v>
      </c>
      <c r="U18" s="229" t="s">
        <v>43</v>
      </c>
      <c r="W18" s="229" t="s">
        <v>78</v>
      </c>
      <c r="Y18" s="229" t="s">
        <v>44</v>
      </c>
      <c r="AA18" s="229" t="s">
        <v>41</v>
      </c>
      <c r="AC18" s="229" t="s">
        <v>45</v>
      </c>
      <c r="AE18" s="9" t="s">
        <v>32</v>
      </c>
      <c r="AF18" s="9" t="s">
        <v>44</v>
      </c>
    </row>
    <row r="19" spans="1:32" ht="16.8" x14ac:dyDescent="0.3">
      <c r="A19" s="230" t="s">
        <v>1</v>
      </c>
      <c r="C19" s="230" t="s">
        <v>723</v>
      </c>
      <c r="E19" s="230" t="s">
        <v>724</v>
      </c>
      <c r="G19" s="230" t="s">
        <v>723</v>
      </c>
      <c r="I19" s="230" t="s">
        <v>724</v>
      </c>
      <c r="K19" s="230" t="s">
        <v>46</v>
      </c>
      <c r="M19" s="230" t="s">
        <v>725</v>
      </c>
      <c r="O19" s="230" t="s">
        <v>728</v>
      </c>
      <c r="Q19" s="230" t="s">
        <v>728</v>
      </c>
      <c r="S19" s="230" t="s">
        <v>728</v>
      </c>
      <c r="U19" s="230" t="s">
        <v>728</v>
      </c>
      <c r="W19" s="230" t="s">
        <v>728</v>
      </c>
      <c r="Y19" s="230" t="s">
        <v>728</v>
      </c>
      <c r="AA19" s="230" t="s">
        <v>728</v>
      </c>
      <c r="AC19" s="230" t="s">
        <v>728</v>
      </c>
      <c r="AE19" s="10" t="s">
        <v>71</v>
      </c>
      <c r="AF19" s="10" t="s">
        <v>71</v>
      </c>
    </row>
    <row r="20" spans="1:32" x14ac:dyDescent="0.3">
      <c r="AE20" s="8"/>
      <c r="AF20" s="8"/>
    </row>
    <row r="21" spans="1:32" x14ac:dyDescent="0.3">
      <c r="A21" s="16">
        <v>2024</v>
      </c>
      <c r="C21" s="17">
        <v>22502</v>
      </c>
      <c r="E21" s="17">
        <v>9617</v>
      </c>
      <c r="G21" s="17">
        <v>20996</v>
      </c>
      <c r="I21" s="17">
        <v>8412</v>
      </c>
      <c r="K21" s="18">
        <v>60.16</v>
      </c>
      <c r="M21" s="18">
        <v>1.78</v>
      </c>
      <c r="O21" s="17">
        <v>1278163</v>
      </c>
      <c r="Q21" s="17">
        <v>108644</v>
      </c>
      <c r="S21" s="17">
        <v>81179</v>
      </c>
      <c r="U21" s="17">
        <v>277375</v>
      </c>
      <c r="W21" s="17">
        <v>0</v>
      </c>
      <c r="Y21" s="17">
        <v>45082</v>
      </c>
      <c r="AA21" s="17">
        <v>765882</v>
      </c>
      <c r="AC21" s="17">
        <v>725961</v>
      </c>
      <c r="AE21" s="13">
        <f t="shared" ref="AE21:AE57" si="0">IFERROR(Q21/O21,0)</f>
        <v>8.5000113444059958E-2</v>
      </c>
      <c r="AF21" s="13">
        <f t="shared" ref="AF21:AF57" si="1">IFERROR(Y21/O21,0)</f>
        <v>3.5270931798213528E-2</v>
      </c>
    </row>
    <row r="22" spans="1:32" x14ac:dyDescent="0.3">
      <c r="A22" s="16">
        <v>2025</v>
      </c>
      <c r="C22" s="17">
        <v>28097</v>
      </c>
      <c r="E22" s="17">
        <v>15571</v>
      </c>
      <c r="G22" s="17">
        <v>23438</v>
      </c>
      <c r="I22" s="17">
        <v>11845</v>
      </c>
      <c r="K22" s="18">
        <v>60.45</v>
      </c>
      <c r="M22" s="18">
        <v>1.79</v>
      </c>
      <c r="O22" s="17">
        <v>1437937</v>
      </c>
      <c r="Q22" s="17">
        <v>122225</v>
      </c>
      <c r="S22" s="17">
        <v>72577</v>
      </c>
      <c r="U22" s="17">
        <v>75022</v>
      </c>
      <c r="W22" s="17">
        <v>0</v>
      </c>
      <c r="Y22" s="17">
        <v>30100</v>
      </c>
      <c r="AA22" s="17">
        <v>1138014</v>
      </c>
      <c r="AC22" s="17">
        <v>976449</v>
      </c>
      <c r="AE22" s="13">
        <f t="shared" si="0"/>
        <v>8.5000246881469774E-2</v>
      </c>
      <c r="AF22" s="13">
        <f t="shared" si="1"/>
        <v>2.0932766873653016E-2</v>
      </c>
    </row>
    <row r="23" spans="1:32" x14ac:dyDescent="0.3">
      <c r="A23" s="16">
        <v>2026</v>
      </c>
      <c r="C23" s="17">
        <v>25364</v>
      </c>
      <c r="E23" s="17">
        <v>15388</v>
      </c>
      <c r="G23" s="17">
        <v>20771</v>
      </c>
      <c r="I23" s="17">
        <v>11418</v>
      </c>
      <c r="K23" s="18">
        <v>60.5</v>
      </c>
      <c r="M23" s="18">
        <v>1.78</v>
      </c>
      <c r="O23" s="17">
        <v>1276976</v>
      </c>
      <c r="Q23" s="17">
        <v>108542</v>
      </c>
      <c r="S23" s="17">
        <v>71245</v>
      </c>
      <c r="U23" s="17">
        <v>6608</v>
      </c>
      <c r="W23" s="17">
        <v>0</v>
      </c>
      <c r="Y23" s="17">
        <v>19986</v>
      </c>
      <c r="AA23" s="17">
        <v>1070596</v>
      </c>
      <c r="AC23" s="17">
        <v>831530</v>
      </c>
      <c r="AE23" s="13">
        <f t="shared" si="0"/>
        <v>8.4999248223929028E-2</v>
      </c>
      <c r="AF23" s="13">
        <f t="shared" si="1"/>
        <v>1.5651038077457994E-2</v>
      </c>
    </row>
    <row r="24" spans="1:32" x14ac:dyDescent="0.3">
      <c r="A24" s="16">
        <v>2027</v>
      </c>
      <c r="C24" s="17">
        <v>22246</v>
      </c>
      <c r="E24" s="17">
        <v>17559</v>
      </c>
      <c r="G24" s="17">
        <v>18100</v>
      </c>
      <c r="I24" s="17">
        <v>12587</v>
      </c>
      <c r="K24" s="18">
        <v>60.51</v>
      </c>
      <c r="M24" s="18">
        <v>1.79</v>
      </c>
      <c r="O24" s="17">
        <v>1117766</v>
      </c>
      <c r="Q24" s="17">
        <v>95011</v>
      </c>
      <c r="S24" s="17">
        <v>70777</v>
      </c>
      <c r="U24" s="17">
        <v>9607</v>
      </c>
      <c r="W24" s="17">
        <v>0</v>
      </c>
      <c r="Y24" s="17">
        <v>16058</v>
      </c>
      <c r="AA24" s="17">
        <v>926312</v>
      </c>
      <c r="AC24" s="17">
        <v>651269</v>
      </c>
      <c r="AE24" s="13">
        <f t="shared" si="0"/>
        <v>8.5000796231053721E-2</v>
      </c>
      <c r="AF24" s="13">
        <f t="shared" si="1"/>
        <v>1.4366155349151791E-2</v>
      </c>
    </row>
    <row r="25" spans="1:32" x14ac:dyDescent="0.3">
      <c r="A25" s="16">
        <v>2028</v>
      </c>
      <c r="C25" s="17">
        <v>18684</v>
      </c>
      <c r="E25" s="17">
        <v>17037</v>
      </c>
      <c r="G25" s="17">
        <v>15268</v>
      </c>
      <c r="I25" s="17">
        <v>12069</v>
      </c>
      <c r="K25" s="18">
        <v>60.51</v>
      </c>
      <c r="M25" s="18">
        <v>1.78</v>
      </c>
      <c r="O25" s="17">
        <v>945345</v>
      </c>
      <c r="Q25" s="17">
        <v>80354</v>
      </c>
      <c r="S25" s="17">
        <v>71100</v>
      </c>
      <c r="U25" s="17">
        <v>6608</v>
      </c>
      <c r="W25" s="17">
        <v>0</v>
      </c>
      <c r="Y25" s="17">
        <v>7344</v>
      </c>
      <c r="AA25" s="17">
        <v>779939</v>
      </c>
      <c r="AC25" s="17">
        <v>496379</v>
      </c>
      <c r="AE25" s="13">
        <f t="shared" si="0"/>
        <v>8.4999656210166655E-2</v>
      </c>
      <c r="AF25" s="13">
        <f t="shared" si="1"/>
        <v>7.7685924186408134E-3</v>
      </c>
    </row>
    <row r="26" spans="1:32" ht="21.9" customHeight="1" x14ac:dyDescent="0.3">
      <c r="A26" s="16">
        <v>2029</v>
      </c>
      <c r="C26" s="17">
        <v>15317</v>
      </c>
      <c r="E26" s="17">
        <v>15792</v>
      </c>
      <c r="G26" s="17">
        <v>12624</v>
      </c>
      <c r="I26" s="17">
        <v>11105</v>
      </c>
      <c r="K26" s="18">
        <v>60.48</v>
      </c>
      <c r="M26" s="18">
        <v>1.79</v>
      </c>
      <c r="O26" s="17">
        <v>783285</v>
      </c>
      <c r="Q26" s="17">
        <v>66579</v>
      </c>
      <c r="S26" s="17">
        <v>71697</v>
      </c>
      <c r="U26" s="17">
        <v>6607</v>
      </c>
      <c r="W26" s="17">
        <v>0</v>
      </c>
      <c r="Y26" s="17">
        <v>2192</v>
      </c>
      <c r="AA26" s="17">
        <v>636209</v>
      </c>
      <c r="AC26" s="17">
        <v>366526</v>
      </c>
      <c r="AE26" s="13">
        <f t="shared" si="0"/>
        <v>8.4999712748233397E-2</v>
      </c>
      <c r="AF26" s="13">
        <f t="shared" si="1"/>
        <v>2.7984705439271784E-3</v>
      </c>
    </row>
    <row r="27" spans="1:32" x14ac:dyDescent="0.3">
      <c r="A27" s="16">
        <v>2030</v>
      </c>
      <c r="C27" s="17">
        <v>12553</v>
      </c>
      <c r="E27" s="17">
        <v>14541</v>
      </c>
      <c r="G27" s="17">
        <v>10460</v>
      </c>
      <c r="I27" s="17">
        <v>10170</v>
      </c>
      <c r="K27" s="18">
        <v>60.45</v>
      </c>
      <c r="M27" s="18">
        <v>1.78</v>
      </c>
      <c r="O27" s="17">
        <v>650508</v>
      </c>
      <c r="Q27" s="17">
        <v>55293</v>
      </c>
      <c r="S27" s="17">
        <v>72488</v>
      </c>
      <c r="U27" s="17">
        <v>6608</v>
      </c>
      <c r="W27" s="17">
        <v>0</v>
      </c>
      <c r="Y27" s="17">
        <v>0</v>
      </c>
      <c r="AA27" s="17">
        <v>516120</v>
      </c>
      <c r="AC27" s="17">
        <v>269156</v>
      </c>
      <c r="AE27" s="13">
        <f t="shared" si="0"/>
        <v>8.4999723293180104E-2</v>
      </c>
      <c r="AF27" s="13">
        <f t="shared" si="1"/>
        <v>0</v>
      </c>
    </row>
    <row r="28" spans="1:32" x14ac:dyDescent="0.3">
      <c r="A28" s="16">
        <v>2031</v>
      </c>
      <c r="C28" s="17">
        <v>10632</v>
      </c>
      <c r="E28" s="17">
        <v>13697</v>
      </c>
      <c r="G28" s="17">
        <v>8865</v>
      </c>
      <c r="I28" s="17">
        <v>9510</v>
      </c>
      <c r="K28" s="18">
        <v>60.45</v>
      </c>
      <c r="M28" s="18">
        <v>1.79</v>
      </c>
      <c r="O28" s="17">
        <v>552844</v>
      </c>
      <c r="Q28" s="17">
        <v>46992</v>
      </c>
      <c r="S28" s="17">
        <v>72551</v>
      </c>
      <c r="U28" s="17">
        <v>6607</v>
      </c>
      <c r="W28" s="17">
        <v>0</v>
      </c>
      <c r="Y28" s="17">
        <v>0</v>
      </c>
      <c r="AA28" s="17">
        <v>426693</v>
      </c>
      <c r="AC28" s="17">
        <v>201429</v>
      </c>
      <c r="AE28" s="13">
        <f t="shared" si="0"/>
        <v>8.5000470295417879E-2</v>
      </c>
      <c r="AF28" s="13">
        <f t="shared" si="1"/>
        <v>0</v>
      </c>
    </row>
    <row r="29" spans="1:32" x14ac:dyDescent="0.3">
      <c r="A29" s="16">
        <v>2032</v>
      </c>
      <c r="C29" s="17">
        <v>9175</v>
      </c>
      <c r="E29" s="17">
        <v>12427</v>
      </c>
      <c r="G29" s="17">
        <v>7672</v>
      </c>
      <c r="I29" s="17">
        <v>8605</v>
      </c>
      <c r="K29" s="18">
        <v>60.44</v>
      </c>
      <c r="M29" s="18">
        <v>1.78</v>
      </c>
      <c r="O29" s="17">
        <v>479021</v>
      </c>
      <c r="Q29" s="17">
        <v>40717</v>
      </c>
      <c r="S29" s="17">
        <v>72735</v>
      </c>
      <c r="U29" s="17">
        <v>6608</v>
      </c>
      <c r="W29" s="17">
        <v>0</v>
      </c>
      <c r="Y29" s="17">
        <v>0</v>
      </c>
      <c r="AA29" s="17">
        <v>358963</v>
      </c>
      <c r="AC29" s="17">
        <v>153392</v>
      </c>
      <c r="AE29" s="13">
        <f t="shared" si="0"/>
        <v>8.5000448832097134E-2</v>
      </c>
      <c r="AF29" s="13">
        <f t="shared" si="1"/>
        <v>0</v>
      </c>
    </row>
    <row r="30" spans="1:32" x14ac:dyDescent="0.3">
      <c r="A30" s="16">
        <v>2033</v>
      </c>
      <c r="C30" s="17">
        <v>7999</v>
      </c>
      <c r="E30" s="17">
        <v>10520</v>
      </c>
      <c r="G30" s="17">
        <v>6686</v>
      </c>
      <c r="I30" s="17">
        <v>7302</v>
      </c>
      <c r="K30" s="18">
        <v>60.44</v>
      </c>
      <c r="M30" s="18">
        <v>1.79</v>
      </c>
      <c r="O30" s="17">
        <v>417161</v>
      </c>
      <c r="Q30" s="17">
        <v>35459</v>
      </c>
      <c r="S30" s="17">
        <v>72751</v>
      </c>
      <c r="U30" s="17">
        <v>6607</v>
      </c>
      <c r="W30" s="17">
        <v>0</v>
      </c>
      <c r="Y30" s="17">
        <v>0</v>
      </c>
      <c r="AA30" s="17">
        <v>302344</v>
      </c>
      <c r="AC30" s="17">
        <v>116952</v>
      </c>
      <c r="AE30" s="13">
        <f t="shared" si="0"/>
        <v>8.500075510414444E-2</v>
      </c>
      <c r="AF30" s="13">
        <f t="shared" si="1"/>
        <v>0</v>
      </c>
    </row>
    <row r="31" spans="1:32" ht="21.9" customHeight="1" x14ac:dyDescent="0.3">
      <c r="A31" s="16">
        <v>2034</v>
      </c>
      <c r="C31" s="17">
        <v>7219</v>
      </c>
      <c r="E31" s="17">
        <v>8768</v>
      </c>
      <c r="G31" s="17">
        <v>5999</v>
      </c>
      <c r="I31" s="17">
        <v>6111</v>
      </c>
      <c r="K31" s="18">
        <v>60.46</v>
      </c>
      <c r="M31" s="18">
        <v>1.78</v>
      </c>
      <c r="O31" s="17">
        <v>373629</v>
      </c>
      <c r="Q31" s="17">
        <v>31758</v>
      </c>
      <c r="S31" s="17">
        <v>72299</v>
      </c>
      <c r="U31" s="17">
        <v>6608</v>
      </c>
      <c r="W31" s="17">
        <v>0</v>
      </c>
      <c r="Y31" s="17">
        <v>0</v>
      </c>
      <c r="AA31" s="17">
        <v>262963</v>
      </c>
      <c r="AC31" s="17">
        <v>92077</v>
      </c>
      <c r="AE31" s="13">
        <f t="shared" si="0"/>
        <v>8.4998755449924926E-2</v>
      </c>
      <c r="AF31" s="13">
        <f t="shared" si="1"/>
        <v>0</v>
      </c>
    </row>
    <row r="32" spans="1:32" x14ac:dyDescent="0.3">
      <c r="A32" s="16">
        <v>2035</v>
      </c>
      <c r="C32" s="17">
        <v>6555</v>
      </c>
      <c r="E32" s="17">
        <v>7275</v>
      </c>
      <c r="G32" s="17">
        <v>5414</v>
      </c>
      <c r="I32" s="17">
        <v>5097</v>
      </c>
      <c r="K32" s="18">
        <v>60.47</v>
      </c>
      <c r="M32" s="18">
        <v>1.79</v>
      </c>
      <c r="O32" s="17">
        <v>336502</v>
      </c>
      <c r="Q32" s="17">
        <v>28603</v>
      </c>
      <c r="S32" s="17">
        <v>71822</v>
      </c>
      <c r="U32" s="17">
        <v>6607</v>
      </c>
      <c r="W32" s="17">
        <v>0</v>
      </c>
      <c r="Y32" s="17">
        <v>0</v>
      </c>
      <c r="AA32" s="17">
        <v>229470</v>
      </c>
      <c r="AB32" t="s">
        <v>738</v>
      </c>
      <c r="AC32" s="17">
        <v>72733</v>
      </c>
      <c r="AE32" s="13">
        <f t="shared" si="0"/>
        <v>8.5000980677677987E-2</v>
      </c>
      <c r="AF32" s="13">
        <f t="shared" si="1"/>
        <v>0</v>
      </c>
    </row>
    <row r="33" spans="1:32" x14ac:dyDescent="0.3">
      <c r="A33" s="16">
        <v>2036</v>
      </c>
      <c r="C33" s="17">
        <v>6055</v>
      </c>
      <c r="E33" s="17">
        <v>6031</v>
      </c>
      <c r="G33" s="17">
        <v>4954</v>
      </c>
      <c r="I33" s="17">
        <v>4250</v>
      </c>
      <c r="K33" s="18">
        <v>60.5</v>
      </c>
      <c r="M33" s="18">
        <v>1.78</v>
      </c>
      <c r="O33" s="17">
        <v>307265</v>
      </c>
      <c r="Q33" s="17">
        <v>26117</v>
      </c>
      <c r="S33" s="17">
        <v>71205</v>
      </c>
      <c r="U33" s="17">
        <v>6608</v>
      </c>
      <c r="W33" s="17">
        <v>0</v>
      </c>
      <c r="Y33" s="17">
        <v>0</v>
      </c>
      <c r="AA33" s="17">
        <v>203336</v>
      </c>
      <c r="AC33" s="17">
        <v>58341</v>
      </c>
      <c r="AE33" s="13">
        <f t="shared" si="0"/>
        <v>8.4998291377150023E-2</v>
      </c>
      <c r="AF33" s="13">
        <f t="shared" si="1"/>
        <v>0</v>
      </c>
    </row>
    <row r="34" spans="1:32" x14ac:dyDescent="0.3">
      <c r="A34" s="16">
        <v>2037</v>
      </c>
      <c r="C34" s="17">
        <v>5622</v>
      </c>
      <c r="E34" s="17">
        <v>5005</v>
      </c>
      <c r="G34" s="17">
        <v>4553</v>
      </c>
      <c r="I34" s="17">
        <v>3548</v>
      </c>
      <c r="K34" s="18">
        <v>60.53</v>
      </c>
      <c r="M34" s="18">
        <v>1.79</v>
      </c>
      <c r="O34" s="17">
        <v>281937</v>
      </c>
      <c r="Q34" s="17">
        <v>23965</v>
      </c>
      <c r="S34" s="17">
        <v>70484</v>
      </c>
      <c r="U34" s="17">
        <v>6607</v>
      </c>
      <c r="W34" s="17">
        <v>0</v>
      </c>
      <c r="Y34" s="17">
        <v>0</v>
      </c>
      <c r="AA34" s="17">
        <v>180880</v>
      </c>
      <c r="AC34" s="17">
        <v>46979</v>
      </c>
      <c r="AE34" s="13">
        <f t="shared" si="0"/>
        <v>8.5001259146546923E-2</v>
      </c>
      <c r="AF34" s="13">
        <f t="shared" si="1"/>
        <v>0</v>
      </c>
    </row>
    <row r="35" spans="1:32" x14ac:dyDescent="0.3">
      <c r="A35" s="16">
        <v>2038</v>
      </c>
      <c r="C35" s="17">
        <v>5246</v>
      </c>
      <c r="E35" s="17">
        <v>4292</v>
      </c>
      <c r="G35" s="17">
        <v>4212</v>
      </c>
      <c r="I35" s="17">
        <v>3053</v>
      </c>
      <c r="K35" s="18">
        <v>60.55</v>
      </c>
      <c r="M35" s="18">
        <v>1.78</v>
      </c>
      <c r="O35" s="17">
        <v>260517</v>
      </c>
      <c r="Q35" s="17">
        <v>22144</v>
      </c>
      <c r="S35" s="17">
        <v>69793</v>
      </c>
      <c r="U35" s="17">
        <v>6608</v>
      </c>
      <c r="W35" s="17">
        <v>0</v>
      </c>
      <c r="Y35" s="17">
        <v>0</v>
      </c>
      <c r="AA35" s="17">
        <v>161973</v>
      </c>
      <c r="AC35" s="17">
        <v>38080</v>
      </c>
      <c r="AE35" s="13">
        <f t="shared" si="0"/>
        <v>8.5000211118660199E-2</v>
      </c>
      <c r="AF35" s="13">
        <f t="shared" si="1"/>
        <v>0</v>
      </c>
    </row>
    <row r="36" spans="1:32" ht="21.9" customHeight="1" x14ac:dyDescent="0.3">
      <c r="A36" s="16">
        <v>2039</v>
      </c>
      <c r="C36" s="17">
        <v>4955</v>
      </c>
      <c r="E36" s="17">
        <v>3749</v>
      </c>
      <c r="G36" s="17">
        <v>3929</v>
      </c>
      <c r="I36" s="17">
        <v>2673</v>
      </c>
      <c r="K36" s="18">
        <v>60.59</v>
      </c>
      <c r="M36" s="18">
        <v>1.79</v>
      </c>
      <c r="O36" s="17">
        <v>242826</v>
      </c>
      <c r="Q36" s="17">
        <v>20640</v>
      </c>
      <c r="S36" s="17">
        <v>69044</v>
      </c>
      <c r="U36" s="17">
        <v>6607</v>
      </c>
      <c r="W36" s="17">
        <v>0</v>
      </c>
      <c r="Y36" s="17">
        <v>0</v>
      </c>
      <c r="AA36" s="17">
        <v>146534</v>
      </c>
      <c r="AC36" s="17">
        <v>31185</v>
      </c>
      <c r="AE36" s="13">
        <f t="shared" si="0"/>
        <v>8.4999135183217611E-2</v>
      </c>
      <c r="AF36" s="13">
        <f t="shared" si="1"/>
        <v>0</v>
      </c>
    </row>
    <row r="37" spans="1:32" x14ac:dyDescent="0.3">
      <c r="A37" s="16">
        <v>2040</v>
      </c>
      <c r="C37" s="17">
        <v>4724</v>
      </c>
      <c r="E37" s="17">
        <v>0</v>
      </c>
      <c r="G37" s="17">
        <v>3708</v>
      </c>
      <c r="I37" s="17">
        <v>0</v>
      </c>
      <c r="K37" s="18">
        <v>60.62</v>
      </c>
      <c r="M37" s="18">
        <v>1.78</v>
      </c>
      <c r="O37" s="17">
        <v>224773</v>
      </c>
      <c r="Q37" s="17">
        <v>19467</v>
      </c>
      <c r="S37" s="17">
        <v>68244</v>
      </c>
      <c r="U37" s="17">
        <v>6608</v>
      </c>
      <c r="W37" s="17">
        <v>0</v>
      </c>
      <c r="Y37" s="17">
        <v>0</v>
      </c>
      <c r="AA37" s="17">
        <v>130454</v>
      </c>
      <c r="AC37" s="17">
        <v>25132</v>
      </c>
      <c r="AE37" s="13">
        <f t="shared" si="0"/>
        <v>8.6607377220573642E-2</v>
      </c>
      <c r="AF37" s="13">
        <f t="shared" si="1"/>
        <v>0</v>
      </c>
    </row>
    <row r="38" spans="1:32" x14ac:dyDescent="0.3">
      <c r="A38" s="16">
        <v>2041</v>
      </c>
      <c r="C38" s="17">
        <v>4486</v>
      </c>
      <c r="E38" s="17">
        <v>0</v>
      </c>
      <c r="G38" s="17">
        <v>3480</v>
      </c>
      <c r="I38" s="17">
        <v>0</v>
      </c>
      <c r="K38" s="18">
        <v>60.65</v>
      </c>
      <c r="M38" s="18">
        <v>1.79</v>
      </c>
      <c r="O38" s="17">
        <v>211016</v>
      </c>
      <c r="Q38" s="17">
        <v>18266</v>
      </c>
      <c r="S38" s="17">
        <v>67533</v>
      </c>
      <c r="U38" s="17">
        <v>6607</v>
      </c>
      <c r="W38" s="17">
        <v>0</v>
      </c>
      <c r="Y38" s="17">
        <v>0</v>
      </c>
      <c r="AA38" s="17">
        <v>118610</v>
      </c>
      <c r="AC38" s="17">
        <v>20683</v>
      </c>
      <c r="AE38" s="13">
        <f t="shared" si="0"/>
        <v>8.6562156424157405E-2</v>
      </c>
      <c r="AF38" s="13">
        <f t="shared" si="1"/>
        <v>0</v>
      </c>
    </row>
    <row r="39" spans="1:32" x14ac:dyDescent="0.3">
      <c r="A39" s="16">
        <v>2042</v>
      </c>
      <c r="C39" s="17">
        <v>4231</v>
      </c>
      <c r="E39" s="17">
        <v>0</v>
      </c>
      <c r="G39" s="17">
        <v>3259</v>
      </c>
      <c r="I39" s="17">
        <v>0</v>
      </c>
      <c r="K39" s="18">
        <v>60.67</v>
      </c>
      <c r="M39" s="18">
        <v>1.78</v>
      </c>
      <c r="O39" s="17">
        <v>197746</v>
      </c>
      <c r="Q39" s="17">
        <v>17112</v>
      </c>
      <c r="S39" s="17">
        <v>66957</v>
      </c>
      <c r="U39" s="17">
        <v>6608</v>
      </c>
      <c r="W39" s="17">
        <v>0</v>
      </c>
      <c r="Y39" s="17">
        <v>0</v>
      </c>
      <c r="AA39" s="17">
        <v>107070</v>
      </c>
      <c r="AC39" s="17">
        <v>16902</v>
      </c>
      <c r="AE39" s="13">
        <f t="shared" si="0"/>
        <v>8.6535252293346007E-2</v>
      </c>
      <c r="AF39" s="13">
        <f t="shared" si="1"/>
        <v>0</v>
      </c>
    </row>
    <row r="40" spans="1:32" x14ac:dyDescent="0.3">
      <c r="A40" s="16">
        <v>2043</v>
      </c>
      <c r="C40" s="17">
        <v>3975</v>
      </c>
      <c r="E40" s="17">
        <v>0</v>
      </c>
      <c r="G40" s="17">
        <v>3036</v>
      </c>
      <c r="I40" s="17">
        <v>0</v>
      </c>
      <c r="K40" s="18">
        <v>60.7</v>
      </c>
      <c r="M40" s="18">
        <v>1.79</v>
      </c>
      <c r="O40" s="17">
        <v>184288</v>
      </c>
      <c r="Q40" s="17">
        <v>15944</v>
      </c>
      <c r="S40" s="17">
        <v>66506</v>
      </c>
      <c r="U40" s="17">
        <v>6607</v>
      </c>
      <c r="W40" s="17">
        <v>0</v>
      </c>
      <c r="Y40" s="17">
        <v>0</v>
      </c>
      <c r="AA40" s="17">
        <v>95231</v>
      </c>
      <c r="AC40" s="17">
        <v>13608</v>
      </c>
      <c r="AE40" s="13">
        <f t="shared" si="0"/>
        <v>8.6516756381316201E-2</v>
      </c>
      <c r="AF40" s="13">
        <f t="shared" si="1"/>
        <v>0</v>
      </c>
    </row>
    <row r="41" spans="1:32" ht="21.9" customHeight="1" x14ac:dyDescent="0.3">
      <c r="A41" s="16">
        <v>2044</v>
      </c>
      <c r="C41" s="17">
        <v>3713</v>
      </c>
      <c r="E41" s="17">
        <v>0</v>
      </c>
      <c r="G41" s="17">
        <v>2825</v>
      </c>
      <c r="I41" s="17">
        <v>0</v>
      </c>
      <c r="K41" s="18">
        <v>60.7</v>
      </c>
      <c r="M41" s="18">
        <v>1.78</v>
      </c>
      <c r="O41" s="17">
        <v>171468</v>
      </c>
      <c r="Q41" s="17">
        <v>14833</v>
      </c>
      <c r="S41" s="17">
        <v>66147</v>
      </c>
      <c r="U41" s="17">
        <v>6608</v>
      </c>
      <c r="W41" s="17">
        <v>0</v>
      </c>
      <c r="Y41" s="17">
        <v>0</v>
      </c>
      <c r="AA41" s="17">
        <v>83880</v>
      </c>
      <c r="AC41" s="17">
        <v>10850</v>
      </c>
      <c r="AE41" s="13">
        <f t="shared" si="0"/>
        <v>8.6505936967830738E-2</v>
      </c>
      <c r="AF41" s="13">
        <f t="shared" si="1"/>
        <v>0</v>
      </c>
    </row>
    <row r="42" spans="1:32" x14ac:dyDescent="0.3">
      <c r="A42" s="16">
        <v>2045</v>
      </c>
      <c r="C42" s="17">
        <v>3439</v>
      </c>
      <c r="E42" s="17">
        <v>0</v>
      </c>
      <c r="G42" s="17">
        <v>2603</v>
      </c>
      <c r="I42" s="17">
        <v>0</v>
      </c>
      <c r="K42" s="18">
        <v>60.73</v>
      </c>
      <c r="M42" s="18">
        <v>1.79</v>
      </c>
      <c r="O42" s="17">
        <v>158085</v>
      </c>
      <c r="Q42" s="17">
        <v>13673</v>
      </c>
      <c r="S42" s="17">
        <v>65865</v>
      </c>
      <c r="U42" s="17">
        <v>6607</v>
      </c>
      <c r="W42" s="17">
        <v>0</v>
      </c>
      <c r="Y42" s="17">
        <v>0</v>
      </c>
      <c r="AA42" s="17">
        <v>71939</v>
      </c>
      <c r="AC42" s="17">
        <v>8423</v>
      </c>
      <c r="AE42" s="13">
        <f t="shared" si="0"/>
        <v>8.6491444476073001E-2</v>
      </c>
      <c r="AF42" s="13">
        <f t="shared" si="1"/>
        <v>0</v>
      </c>
    </row>
    <row r="43" spans="1:32" x14ac:dyDescent="0.3">
      <c r="A43" s="16">
        <v>2046</v>
      </c>
      <c r="C43" s="17">
        <v>3151</v>
      </c>
      <c r="E43" s="17">
        <v>0</v>
      </c>
      <c r="G43" s="17">
        <v>2373</v>
      </c>
      <c r="I43" s="17">
        <v>0</v>
      </c>
      <c r="K43" s="18">
        <v>60.73</v>
      </c>
      <c r="M43" s="18">
        <v>1.78</v>
      </c>
      <c r="O43" s="17">
        <v>144126</v>
      </c>
      <c r="Q43" s="17">
        <v>12464</v>
      </c>
      <c r="S43" s="17">
        <v>65530</v>
      </c>
      <c r="U43" s="17">
        <v>6608</v>
      </c>
      <c r="W43" s="17">
        <v>0</v>
      </c>
      <c r="Y43" s="17">
        <v>0</v>
      </c>
      <c r="AA43" s="17">
        <v>59525</v>
      </c>
      <c r="AC43" s="17">
        <v>6309</v>
      </c>
      <c r="AE43" s="13">
        <f t="shared" si="0"/>
        <v>8.6479885655606895E-2</v>
      </c>
      <c r="AF43" s="13">
        <f t="shared" si="1"/>
        <v>0</v>
      </c>
    </row>
    <row r="44" spans="1:32" x14ac:dyDescent="0.3">
      <c r="A44" s="16">
        <v>2047</v>
      </c>
      <c r="C44" s="17">
        <v>2880</v>
      </c>
      <c r="E44" s="17">
        <v>0</v>
      </c>
      <c r="G44" s="17">
        <v>2160</v>
      </c>
      <c r="I44" s="17">
        <v>0</v>
      </c>
      <c r="K44" s="18">
        <v>60.75</v>
      </c>
      <c r="M44" s="18">
        <v>1.79</v>
      </c>
      <c r="O44" s="17">
        <v>131224</v>
      </c>
      <c r="Q44" s="17">
        <v>11344</v>
      </c>
      <c r="S44" s="17">
        <v>65293</v>
      </c>
      <c r="U44" s="17">
        <v>6607</v>
      </c>
      <c r="W44" s="17">
        <v>0</v>
      </c>
      <c r="Y44" s="17">
        <v>0</v>
      </c>
      <c r="AA44" s="17">
        <v>47979</v>
      </c>
      <c r="AC44" s="17">
        <v>4603</v>
      </c>
      <c r="AE44" s="13">
        <f t="shared" si="0"/>
        <v>8.6447601048588674E-2</v>
      </c>
      <c r="AF44" s="13">
        <f t="shared" si="1"/>
        <v>0</v>
      </c>
    </row>
    <row r="45" spans="1:32" x14ac:dyDescent="0.3">
      <c r="A45" s="16">
        <v>2048</v>
      </c>
      <c r="C45" s="17">
        <v>2644</v>
      </c>
      <c r="E45" s="17">
        <v>0</v>
      </c>
      <c r="G45" s="17">
        <v>1980</v>
      </c>
      <c r="I45" s="17">
        <v>0</v>
      </c>
      <c r="K45" s="18">
        <v>60.76</v>
      </c>
      <c r="M45" s="18">
        <v>1.78</v>
      </c>
      <c r="O45" s="17">
        <v>120311</v>
      </c>
      <c r="Q45" s="17">
        <v>10395</v>
      </c>
      <c r="S45" s="17">
        <v>65105</v>
      </c>
      <c r="U45" s="17">
        <v>6608</v>
      </c>
      <c r="W45" s="17">
        <v>0</v>
      </c>
      <c r="Y45" s="17">
        <v>0</v>
      </c>
      <c r="AA45" s="17">
        <v>38204</v>
      </c>
      <c r="AC45" s="17">
        <v>3318</v>
      </c>
      <c r="AE45" s="13">
        <f t="shared" si="0"/>
        <v>8.6401077208235325E-2</v>
      </c>
      <c r="AF45" s="13">
        <f t="shared" si="1"/>
        <v>0</v>
      </c>
    </row>
    <row r="46" spans="1:32" ht="21.9" customHeight="1" x14ac:dyDescent="0.3">
      <c r="A46" s="16">
        <v>2049</v>
      </c>
      <c r="C46" s="17">
        <v>2341</v>
      </c>
      <c r="E46" s="17">
        <v>0</v>
      </c>
      <c r="G46" s="17">
        <v>1725</v>
      </c>
      <c r="I46" s="17">
        <v>0</v>
      </c>
      <c r="K46" s="18">
        <v>60.81</v>
      </c>
      <c r="M46" s="18">
        <v>1.79</v>
      </c>
      <c r="O46" s="17">
        <v>104877</v>
      </c>
      <c r="Q46" s="17">
        <v>9063</v>
      </c>
      <c r="S46" s="17">
        <v>64085</v>
      </c>
      <c r="U46" s="17">
        <v>6607</v>
      </c>
      <c r="W46" s="17">
        <v>0</v>
      </c>
      <c r="Y46" s="17">
        <v>0</v>
      </c>
      <c r="AA46" s="17">
        <v>25121</v>
      </c>
      <c r="AC46" s="17">
        <v>1975</v>
      </c>
      <c r="AE46" s="13">
        <f t="shared" si="0"/>
        <v>8.6415515317943878E-2</v>
      </c>
      <c r="AF46" s="13">
        <f t="shared" si="1"/>
        <v>0</v>
      </c>
    </row>
    <row r="47" spans="1:32" x14ac:dyDescent="0.3">
      <c r="A47" s="16">
        <v>2050</v>
      </c>
      <c r="C47" s="17">
        <v>2139</v>
      </c>
      <c r="E47" s="17">
        <v>0</v>
      </c>
      <c r="G47" s="17">
        <v>1566</v>
      </c>
      <c r="I47" s="17">
        <v>0</v>
      </c>
      <c r="K47" s="18">
        <v>60.82</v>
      </c>
      <c r="M47" s="18">
        <v>1.78</v>
      </c>
      <c r="O47" s="17">
        <v>95257</v>
      </c>
      <c r="Q47" s="17">
        <v>8225</v>
      </c>
      <c r="S47" s="17">
        <v>63650</v>
      </c>
      <c r="U47" s="17">
        <v>0</v>
      </c>
      <c r="W47" s="17">
        <v>0</v>
      </c>
      <c r="Y47" s="17">
        <v>0</v>
      </c>
      <c r="AA47" s="17">
        <v>23381</v>
      </c>
      <c r="AC47" s="17">
        <v>1664</v>
      </c>
      <c r="AE47" s="13">
        <f t="shared" si="0"/>
        <v>8.634536044595148E-2</v>
      </c>
      <c r="AF47" s="13">
        <f t="shared" si="1"/>
        <v>0</v>
      </c>
    </row>
    <row r="48" spans="1:32" x14ac:dyDescent="0.3">
      <c r="A48" s="16">
        <v>2051</v>
      </c>
      <c r="C48" s="17">
        <v>1944</v>
      </c>
      <c r="E48" s="17">
        <v>0</v>
      </c>
      <c r="G48" s="17">
        <v>1406</v>
      </c>
      <c r="I48" s="17">
        <v>0</v>
      </c>
      <c r="K48" s="18">
        <v>60.86</v>
      </c>
      <c r="M48" s="18">
        <v>1.78</v>
      </c>
      <c r="O48" s="17">
        <v>85556</v>
      </c>
      <c r="Q48" s="17">
        <v>7388</v>
      </c>
      <c r="S48" s="17">
        <v>63012</v>
      </c>
      <c r="U48" s="17">
        <v>0</v>
      </c>
      <c r="W48" s="17">
        <v>0</v>
      </c>
      <c r="Y48" s="17">
        <v>0</v>
      </c>
      <c r="AA48" s="17">
        <v>15157</v>
      </c>
      <c r="AC48" s="17">
        <v>976</v>
      </c>
      <c r="AE48" s="13">
        <f t="shared" si="0"/>
        <v>8.6352798167282252E-2</v>
      </c>
      <c r="AF48" s="13">
        <f t="shared" si="1"/>
        <v>0</v>
      </c>
    </row>
    <row r="49" spans="1:32" x14ac:dyDescent="0.3">
      <c r="A49" s="16">
        <v>2052</v>
      </c>
      <c r="C49" s="17">
        <v>1651</v>
      </c>
      <c r="E49" s="17">
        <v>0</v>
      </c>
      <c r="G49" s="17">
        <v>1150</v>
      </c>
      <c r="I49" s="17">
        <v>0</v>
      </c>
      <c r="K49" s="18">
        <v>60.98</v>
      </c>
      <c r="M49" s="18">
        <v>1.79</v>
      </c>
      <c r="O49" s="17">
        <v>70154</v>
      </c>
      <c r="Q49" s="17">
        <v>6063</v>
      </c>
      <c r="S49" s="17">
        <v>60575</v>
      </c>
      <c r="U49" s="17">
        <v>0</v>
      </c>
      <c r="W49" s="17">
        <v>0</v>
      </c>
      <c r="Y49" s="17">
        <v>0</v>
      </c>
      <c r="AA49" s="17">
        <v>3517</v>
      </c>
      <c r="AC49" s="17">
        <v>205</v>
      </c>
      <c r="AE49" s="13">
        <f t="shared" si="0"/>
        <v>8.6424152578612773E-2</v>
      </c>
      <c r="AF49" s="13">
        <f t="shared" si="1"/>
        <v>0</v>
      </c>
    </row>
    <row r="50" spans="1:32" x14ac:dyDescent="0.3">
      <c r="A50" s="16">
        <v>2053</v>
      </c>
      <c r="C50" s="17">
        <v>0</v>
      </c>
      <c r="E50" s="17">
        <v>0</v>
      </c>
      <c r="G50" s="17">
        <v>0</v>
      </c>
      <c r="I50" s="17">
        <v>0</v>
      </c>
      <c r="K50" s="18">
        <v>0</v>
      </c>
      <c r="M50" s="18">
        <v>0</v>
      </c>
      <c r="O50" s="17">
        <v>0</v>
      </c>
      <c r="Q50" s="17">
        <v>0</v>
      </c>
      <c r="S50" s="17">
        <v>0</v>
      </c>
      <c r="U50" s="17">
        <v>0</v>
      </c>
      <c r="W50" s="17">
        <v>249246</v>
      </c>
      <c r="Y50" s="17">
        <v>0</v>
      </c>
      <c r="AA50" s="17">
        <v>-249246</v>
      </c>
      <c r="AC50" s="17">
        <v>-13156</v>
      </c>
      <c r="AE50" s="13">
        <f t="shared" si="0"/>
        <v>0</v>
      </c>
      <c r="AF50" s="13">
        <f t="shared" si="1"/>
        <v>0</v>
      </c>
    </row>
    <row r="51" spans="1:32" ht="21.9" customHeight="1" x14ac:dyDescent="0.3">
      <c r="A51" s="16">
        <v>2054</v>
      </c>
      <c r="C51" s="17">
        <v>0</v>
      </c>
      <c r="E51" s="17">
        <v>0</v>
      </c>
      <c r="G51" s="17">
        <v>0</v>
      </c>
      <c r="I51" s="17">
        <v>0</v>
      </c>
      <c r="K51" s="18">
        <v>0</v>
      </c>
      <c r="M51" s="18">
        <v>0</v>
      </c>
      <c r="O51" s="17">
        <v>0</v>
      </c>
      <c r="Q51" s="17">
        <v>0</v>
      </c>
      <c r="S51" s="17">
        <v>0</v>
      </c>
      <c r="U51" s="17">
        <v>0</v>
      </c>
      <c r="W51" s="17">
        <v>0</v>
      </c>
      <c r="Y51" s="17">
        <v>0</v>
      </c>
      <c r="AA51" s="17">
        <v>0</v>
      </c>
      <c r="AC51" s="17">
        <v>0</v>
      </c>
      <c r="AE51" s="13">
        <f t="shared" si="0"/>
        <v>0</v>
      </c>
      <c r="AF51" s="13">
        <f t="shared" si="1"/>
        <v>0</v>
      </c>
    </row>
    <row r="52" spans="1:32" x14ac:dyDescent="0.3">
      <c r="A52" s="16">
        <v>2055</v>
      </c>
      <c r="C52" s="17">
        <v>0</v>
      </c>
      <c r="E52" s="17">
        <v>0</v>
      </c>
      <c r="G52" s="17">
        <v>0</v>
      </c>
      <c r="I52" s="17">
        <v>0</v>
      </c>
      <c r="K52" s="18">
        <v>0</v>
      </c>
      <c r="M52" s="18">
        <v>0</v>
      </c>
      <c r="O52" s="17">
        <v>0</v>
      </c>
      <c r="Q52" s="17">
        <v>0</v>
      </c>
      <c r="S52" s="17">
        <v>0</v>
      </c>
      <c r="U52" s="17">
        <v>0</v>
      </c>
      <c r="W52" s="17">
        <v>0</v>
      </c>
      <c r="Y52" s="17">
        <v>0</v>
      </c>
      <c r="AA52" s="17">
        <v>0</v>
      </c>
      <c r="AC52" s="17">
        <v>0</v>
      </c>
      <c r="AE52" s="13">
        <f t="shared" si="0"/>
        <v>0</v>
      </c>
      <c r="AF52" s="13">
        <f t="shared" si="1"/>
        <v>0</v>
      </c>
    </row>
    <row r="53" spans="1:32" x14ac:dyDescent="0.3">
      <c r="A53" s="16">
        <v>2056</v>
      </c>
      <c r="C53" s="17">
        <v>0</v>
      </c>
      <c r="E53" s="17">
        <v>0</v>
      </c>
      <c r="G53" s="17">
        <v>0</v>
      </c>
      <c r="I53" s="17">
        <v>0</v>
      </c>
      <c r="K53" s="18">
        <v>0</v>
      </c>
      <c r="M53" s="18">
        <v>0</v>
      </c>
      <c r="O53" s="17">
        <v>0</v>
      </c>
      <c r="Q53" s="17">
        <v>0</v>
      </c>
      <c r="S53" s="17">
        <v>0</v>
      </c>
      <c r="U53" s="17">
        <v>0</v>
      </c>
      <c r="W53" s="17">
        <v>0</v>
      </c>
      <c r="Y53" s="17">
        <v>0</v>
      </c>
      <c r="AA53" s="17">
        <v>0</v>
      </c>
      <c r="AC53" s="17">
        <v>0</v>
      </c>
      <c r="AE53" s="13">
        <f t="shared" si="0"/>
        <v>0</v>
      </c>
      <c r="AF53" s="13">
        <f t="shared" si="1"/>
        <v>0</v>
      </c>
    </row>
    <row r="54" spans="1:32" x14ac:dyDescent="0.3">
      <c r="A54" s="16">
        <v>2057</v>
      </c>
      <c r="C54" s="17">
        <v>0</v>
      </c>
      <c r="E54" s="17">
        <v>0</v>
      </c>
      <c r="G54" s="17">
        <v>0</v>
      </c>
      <c r="I54" s="17">
        <v>0</v>
      </c>
      <c r="K54" s="18">
        <v>0</v>
      </c>
      <c r="M54" s="18">
        <v>0</v>
      </c>
      <c r="O54" s="17">
        <v>0</v>
      </c>
      <c r="Q54" s="17">
        <v>0</v>
      </c>
      <c r="S54" s="17">
        <v>0</v>
      </c>
      <c r="U54" s="17">
        <v>0</v>
      </c>
      <c r="W54" s="17">
        <v>0</v>
      </c>
      <c r="Y54" s="17">
        <v>0</v>
      </c>
      <c r="AA54" s="17">
        <v>0</v>
      </c>
      <c r="AC54" s="17">
        <v>0</v>
      </c>
      <c r="AE54" s="13">
        <f t="shared" si="0"/>
        <v>0</v>
      </c>
      <c r="AF54" s="13">
        <f t="shared" si="1"/>
        <v>0</v>
      </c>
    </row>
    <row r="55" spans="1:32" x14ac:dyDescent="0.3">
      <c r="A55" s="16">
        <v>2058</v>
      </c>
      <c r="C55" s="17">
        <v>0</v>
      </c>
      <c r="E55" s="17">
        <v>0</v>
      </c>
      <c r="G55" s="17">
        <v>0</v>
      </c>
      <c r="I55" s="17">
        <v>0</v>
      </c>
      <c r="K55" s="18">
        <v>0</v>
      </c>
      <c r="M55" s="18">
        <v>0</v>
      </c>
      <c r="O55" s="17">
        <v>0</v>
      </c>
      <c r="Q55" s="17">
        <v>0</v>
      </c>
      <c r="S55" s="17">
        <v>0</v>
      </c>
      <c r="U55" s="17">
        <v>0</v>
      </c>
      <c r="W55" s="17">
        <v>0</v>
      </c>
      <c r="Y55" s="17">
        <v>0</v>
      </c>
      <c r="AA55" s="17">
        <v>0</v>
      </c>
      <c r="AC55" s="17">
        <v>0</v>
      </c>
      <c r="AE55" s="13">
        <f t="shared" si="0"/>
        <v>0</v>
      </c>
      <c r="AF55" s="13">
        <f t="shared" si="1"/>
        <v>0</v>
      </c>
    </row>
    <row r="56" spans="1:32" ht="21.9" customHeight="1" x14ac:dyDescent="0.3">
      <c r="A56" s="16">
        <v>2059</v>
      </c>
      <c r="C56" s="17">
        <v>0</v>
      </c>
      <c r="E56" s="17">
        <v>0</v>
      </c>
      <c r="G56" s="17">
        <v>0</v>
      </c>
      <c r="I56" s="17">
        <v>0</v>
      </c>
      <c r="K56" s="18">
        <v>0</v>
      </c>
      <c r="M56" s="18">
        <v>0</v>
      </c>
      <c r="O56" s="17">
        <v>0</v>
      </c>
      <c r="Q56" s="17">
        <v>0</v>
      </c>
      <c r="S56" s="17">
        <v>0</v>
      </c>
      <c r="U56" s="17">
        <v>0</v>
      </c>
      <c r="W56" s="17">
        <v>0</v>
      </c>
      <c r="Y56" s="17">
        <v>0</v>
      </c>
      <c r="AA56" s="17">
        <v>0</v>
      </c>
      <c r="AC56" s="17">
        <v>0</v>
      </c>
      <c r="AE56" s="13">
        <f t="shared" si="0"/>
        <v>0</v>
      </c>
      <c r="AF56" s="13">
        <f t="shared" si="1"/>
        <v>0</v>
      </c>
    </row>
    <row r="57" spans="1:32" x14ac:dyDescent="0.3">
      <c r="A57" s="16">
        <v>2060</v>
      </c>
      <c r="C57" s="19">
        <v>0</v>
      </c>
      <c r="E57" s="19">
        <v>0</v>
      </c>
      <c r="G57" s="19">
        <v>0</v>
      </c>
      <c r="I57" s="19">
        <v>0</v>
      </c>
      <c r="K57" s="18">
        <v>0</v>
      </c>
      <c r="M57" s="18">
        <v>0</v>
      </c>
      <c r="O57" s="19">
        <v>0</v>
      </c>
      <c r="Q57" s="19">
        <v>0</v>
      </c>
      <c r="S57" s="19">
        <v>0</v>
      </c>
      <c r="U57" s="19">
        <v>0</v>
      </c>
      <c r="W57" s="19">
        <v>0</v>
      </c>
      <c r="Y57" s="19">
        <v>0</v>
      </c>
      <c r="AA57" s="19">
        <v>0</v>
      </c>
      <c r="AC57" s="19">
        <v>0</v>
      </c>
      <c r="AE57" s="13">
        <f t="shared" si="0"/>
        <v>0</v>
      </c>
      <c r="AF57" s="13">
        <f t="shared" si="1"/>
        <v>0</v>
      </c>
    </row>
    <row r="58" spans="1:32" x14ac:dyDescent="0.3">
      <c r="AE58" s="13"/>
      <c r="AF58" s="13"/>
    </row>
    <row r="59" spans="1:32" x14ac:dyDescent="0.3">
      <c r="A59" s="231" t="s">
        <v>2</v>
      </c>
      <c r="C59" s="232">
        <v>249539</v>
      </c>
      <c r="E59" s="232">
        <v>177269</v>
      </c>
      <c r="G59" s="232">
        <v>205212</v>
      </c>
      <c r="I59" s="232">
        <v>127755</v>
      </c>
      <c r="O59" s="232">
        <v>12640563</v>
      </c>
      <c r="Q59" s="232">
        <v>1077280</v>
      </c>
      <c r="S59" s="232">
        <v>2002249</v>
      </c>
      <c r="U59" s="232">
        <v>513977</v>
      </c>
      <c r="W59" s="232">
        <v>249246</v>
      </c>
      <c r="Y59" s="232">
        <v>120762</v>
      </c>
      <c r="AA59" s="232">
        <v>8677050</v>
      </c>
      <c r="AC59" s="232">
        <v>5229930</v>
      </c>
      <c r="AE59" s="13"/>
      <c r="AF59" s="13"/>
    </row>
    <row r="60" spans="1:32" x14ac:dyDescent="0.3">
      <c r="AE60" s="13"/>
      <c r="AF60" s="13"/>
    </row>
    <row r="61" spans="1:32" ht="21.9" customHeight="1" x14ac:dyDescent="0.3">
      <c r="A61" t="s">
        <v>47</v>
      </c>
      <c r="AA61" s="228" t="s">
        <v>729</v>
      </c>
      <c r="AB61" s="15"/>
      <c r="AC61" s="15"/>
      <c r="AE61" s="13"/>
      <c r="AF61" s="13"/>
    </row>
    <row r="62" spans="1:32" x14ac:dyDescent="0.3">
      <c r="A62" t="s">
        <v>79</v>
      </c>
      <c r="AA62" s="20" t="s">
        <v>48</v>
      </c>
      <c r="AC62" s="17">
        <v>6587944</v>
      </c>
      <c r="AE62" s="13"/>
      <c r="AF62" s="13"/>
    </row>
    <row r="63" spans="1:32" x14ac:dyDescent="0.3">
      <c r="A63" t="s">
        <v>80</v>
      </c>
      <c r="AA63" s="20" t="s">
        <v>49</v>
      </c>
      <c r="AC63" s="17">
        <v>4300856</v>
      </c>
      <c r="AE63" s="13"/>
      <c r="AF63" s="13"/>
    </row>
    <row r="64" spans="1:32" x14ac:dyDescent="0.3">
      <c r="A64" t="s">
        <v>81</v>
      </c>
      <c r="AA64" s="20" t="s">
        <v>50</v>
      </c>
      <c r="AC64" s="17">
        <v>3631842</v>
      </c>
      <c r="AE64" s="13"/>
      <c r="AF64" s="13"/>
    </row>
    <row r="65" spans="1:1" ht="8.1" customHeight="1" x14ac:dyDescent="0.3">
      <c r="A65" t="s">
        <v>734</v>
      </c>
    </row>
    <row r="66" spans="1:1" x14ac:dyDescent="0.3">
      <c r="A66" s="233" t="s">
        <v>735</v>
      </c>
    </row>
  </sheetData>
  <printOptions horizontalCentered="1"/>
  <pageMargins left="0.5" right="0.3" top="0.75" bottom="0.75" header="0.5" footer="0.5"/>
  <pageSetup paperSize="162" scale="42"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23A0-F772-4EE8-BC2E-FDF0D49AAA3E}">
  <sheetPr>
    <tabColor theme="9" tint="-0.499984740745262"/>
  </sheetPr>
  <dimension ref="A1:BI436"/>
  <sheetViews>
    <sheetView workbookViewId="0">
      <pane xSplit="1" ySplit="4" topLeftCell="AC107" activePane="bottomRight" state="frozen"/>
      <selection pane="topRight" activeCell="B1" sqref="B1"/>
      <selection pane="bottomLeft" activeCell="A5" sqref="A5"/>
      <selection pane="bottomRight" activeCell="AJ139" sqref="AJ139"/>
    </sheetView>
  </sheetViews>
  <sheetFormatPr defaultRowHeight="14.4" x14ac:dyDescent="0.3"/>
  <cols>
    <col min="1" max="1" width="24" customWidth="1"/>
    <col min="2" max="58" width="11" customWidth="1"/>
    <col min="61" max="61" width="9.109375" bestFit="1" customWidth="1"/>
  </cols>
  <sheetData>
    <row r="1" spans="1:58" x14ac:dyDescent="0.3">
      <c r="A1" s="251" t="s">
        <v>778</v>
      </c>
      <c r="BF1" s="252" t="s">
        <v>779</v>
      </c>
    </row>
    <row r="2" spans="1:58" x14ac:dyDescent="0.3">
      <c r="A2" s="251" t="s">
        <v>780</v>
      </c>
    </row>
    <row r="4" spans="1:58" x14ac:dyDescent="0.3">
      <c r="A4" s="253" t="s">
        <v>781</v>
      </c>
      <c r="B4" s="254">
        <v>40178</v>
      </c>
      <c r="C4" s="254">
        <v>40268</v>
      </c>
      <c r="D4" s="254">
        <v>40359</v>
      </c>
      <c r="E4" s="254">
        <v>40451</v>
      </c>
      <c r="F4" s="254">
        <v>40543</v>
      </c>
      <c r="G4" s="254">
        <v>40633</v>
      </c>
      <c r="H4" s="254">
        <v>40724</v>
      </c>
      <c r="I4" s="254">
        <v>40816</v>
      </c>
      <c r="J4" s="254">
        <v>40908</v>
      </c>
      <c r="K4" s="254">
        <v>40999</v>
      </c>
      <c r="L4" s="254">
        <v>41090</v>
      </c>
      <c r="M4" s="254">
        <v>41182</v>
      </c>
      <c r="N4" s="254">
        <v>41274</v>
      </c>
      <c r="O4" s="254">
        <v>41364</v>
      </c>
      <c r="P4" s="254">
        <v>41455</v>
      </c>
      <c r="Q4" s="254">
        <v>41547</v>
      </c>
      <c r="R4" s="254">
        <v>41639</v>
      </c>
      <c r="S4" s="254">
        <v>41729</v>
      </c>
      <c r="T4" s="254">
        <v>41820</v>
      </c>
      <c r="U4" s="254">
        <v>41912</v>
      </c>
      <c r="V4" s="254">
        <v>42004</v>
      </c>
      <c r="W4" s="254">
        <v>42094</v>
      </c>
      <c r="X4" s="254">
        <v>42185</v>
      </c>
      <c r="Y4" s="254">
        <v>42277</v>
      </c>
      <c r="Z4" s="254">
        <v>42369</v>
      </c>
      <c r="AA4" s="254">
        <v>42460</v>
      </c>
      <c r="AB4" s="254">
        <v>42551</v>
      </c>
      <c r="AC4" s="254">
        <v>42643</v>
      </c>
      <c r="AD4" s="254">
        <v>42735</v>
      </c>
      <c r="AE4" s="254">
        <v>42825</v>
      </c>
      <c r="AF4" s="254">
        <v>42916</v>
      </c>
      <c r="AG4" s="254">
        <v>43008</v>
      </c>
      <c r="AH4" s="254">
        <v>43100</v>
      </c>
      <c r="AI4" s="254">
        <v>43190</v>
      </c>
      <c r="AJ4" s="254">
        <v>43281</v>
      </c>
      <c r="AK4" s="254">
        <v>43373</v>
      </c>
      <c r="AL4" s="254">
        <v>43465</v>
      </c>
      <c r="AM4" s="254">
        <v>43555</v>
      </c>
      <c r="AN4" s="254">
        <v>43646</v>
      </c>
      <c r="AO4" s="254">
        <v>43738</v>
      </c>
      <c r="AP4" s="254">
        <v>43830</v>
      </c>
      <c r="AQ4" s="254">
        <v>43921</v>
      </c>
      <c r="AR4" s="254">
        <v>44012</v>
      </c>
      <c r="AS4" s="254">
        <v>44104</v>
      </c>
      <c r="AT4" s="254">
        <v>44196</v>
      </c>
      <c r="AU4" s="254">
        <v>44286</v>
      </c>
      <c r="AV4" s="254">
        <v>44377</v>
      </c>
      <c r="AW4" s="254">
        <v>44469</v>
      </c>
      <c r="AX4" s="254">
        <v>44561</v>
      </c>
      <c r="AY4" s="254">
        <v>44651</v>
      </c>
      <c r="AZ4" s="254">
        <v>44742</v>
      </c>
      <c r="BA4" s="254">
        <v>44834</v>
      </c>
      <c r="BB4" s="254">
        <v>44926</v>
      </c>
      <c r="BC4" s="254">
        <v>45016</v>
      </c>
      <c r="BD4" s="254">
        <v>45107</v>
      </c>
      <c r="BE4" s="254">
        <v>45199</v>
      </c>
      <c r="BF4" s="254">
        <v>45291</v>
      </c>
    </row>
    <row r="5" spans="1:58" x14ac:dyDescent="0.3">
      <c r="A5" s="255" t="s">
        <v>782</v>
      </c>
      <c r="B5" s="256" t="s">
        <v>5</v>
      </c>
      <c r="C5" s="256" t="s">
        <v>5</v>
      </c>
      <c r="D5" s="256" t="s">
        <v>5</v>
      </c>
      <c r="E5" s="256" t="s">
        <v>5</v>
      </c>
      <c r="F5" s="256" t="s">
        <v>5</v>
      </c>
      <c r="G5" s="256" t="s">
        <v>5</v>
      </c>
      <c r="H5" s="256" t="s">
        <v>5</v>
      </c>
      <c r="I5" s="256" t="s">
        <v>5</v>
      </c>
      <c r="J5" s="256" t="s">
        <v>5</v>
      </c>
      <c r="K5" s="256" t="s">
        <v>5</v>
      </c>
      <c r="L5" s="256" t="s">
        <v>5</v>
      </c>
      <c r="M5" s="256" t="s">
        <v>5</v>
      </c>
      <c r="N5" s="256" t="s">
        <v>5</v>
      </c>
      <c r="O5" s="256" t="s">
        <v>5</v>
      </c>
      <c r="P5" s="256" t="s">
        <v>5</v>
      </c>
      <c r="Q5" s="256" t="s">
        <v>5</v>
      </c>
      <c r="R5" s="256" t="s">
        <v>5</v>
      </c>
      <c r="S5" s="256" t="s">
        <v>5</v>
      </c>
      <c r="T5" s="256" t="s">
        <v>5</v>
      </c>
      <c r="U5" s="256" t="s">
        <v>5</v>
      </c>
      <c r="V5" s="256" t="s">
        <v>5</v>
      </c>
      <c r="W5" s="256" t="s">
        <v>5</v>
      </c>
      <c r="X5" s="256" t="s">
        <v>5</v>
      </c>
      <c r="Y5" s="256" t="s">
        <v>5</v>
      </c>
      <c r="Z5" s="256" t="s">
        <v>5</v>
      </c>
      <c r="AA5" s="256" t="s">
        <v>5</v>
      </c>
      <c r="AB5" s="256" t="s">
        <v>5</v>
      </c>
      <c r="AC5" s="256" t="s">
        <v>5</v>
      </c>
      <c r="AD5" s="256" t="s">
        <v>5</v>
      </c>
      <c r="AE5" s="256" t="s">
        <v>5</v>
      </c>
      <c r="AF5" s="256" t="s">
        <v>5</v>
      </c>
      <c r="AG5" s="256" t="s">
        <v>5</v>
      </c>
      <c r="AH5" s="256" t="s">
        <v>5</v>
      </c>
      <c r="AI5" s="256" t="s">
        <v>5</v>
      </c>
      <c r="AJ5" s="256" t="s">
        <v>5</v>
      </c>
      <c r="AK5" s="256" t="s">
        <v>5</v>
      </c>
      <c r="AL5" s="256" t="s">
        <v>5</v>
      </c>
      <c r="AM5" s="256" t="s">
        <v>5</v>
      </c>
      <c r="AN5" s="256" t="s">
        <v>5</v>
      </c>
      <c r="AO5" s="256" t="s">
        <v>5</v>
      </c>
      <c r="AP5" s="256" t="s">
        <v>5</v>
      </c>
      <c r="AQ5" s="256" t="s">
        <v>5</v>
      </c>
      <c r="AR5" s="256" t="s">
        <v>5</v>
      </c>
      <c r="AS5" s="256" t="s">
        <v>5</v>
      </c>
      <c r="AT5" s="256" t="s">
        <v>5</v>
      </c>
      <c r="AU5" s="256" t="s">
        <v>5</v>
      </c>
      <c r="AV5" s="256" t="s">
        <v>5</v>
      </c>
      <c r="AW5" s="256" t="s">
        <v>5</v>
      </c>
      <c r="AX5" s="256" t="s">
        <v>5</v>
      </c>
      <c r="AY5" s="256" t="s">
        <v>5</v>
      </c>
      <c r="AZ5" s="256" t="s">
        <v>5</v>
      </c>
      <c r="BA5" s="256" t="s">
        <v>5</v>
      </c>
      <c r="BB5" s="256" t="s">
        <v>5</v>
      </c>
      <c r="BC5" s="256" t="s">
        <v>5</v>
      </c>
      <c r="BD5" s="256" t="s">
        <v>5</v>
      </c>
      <c r="BE5" s="256" t="s">
        <v>5</v>
      </c>
      <c r="BF5" s="256" t="s">
        <v>5</v>
      </c>
    </row>
    <row r="6" spans="1:58" x14ac:dyDescent="0.3">
      <c r="A6" s="255" t="s">
        <v>783</v>
      </c>
      <c r="B6" s="256" t="s">
        <v>784</v>
      </c>
      <c r="C6" s="256" t="s">
        <v>784</v>
      </c>
      <c r="D6" s="256" t="s">
        <v>784</v>
      </c>
      <c r="E6" s="256" t="s">
        <v>784</v>
      </c>
      <c r="F6" s="256" t="s">
        <v>785</v>
      </c>
      <c r="G6" s="256" t="s">
        <v>785</v>
      </c>
      <c r="H6" s="256" t="s">
        <v>785</v>
      </c>
      <c r="I6" s="256" t="s">
        <v>785</v>
      </c>
      <c r="J6" s="256" t="s">
        <v>785</v>
      </c>
      <c r="K6" s="256" t="s">
        <v>785</v>
      </c>
      <c r="L6" s="256" t="s">
        <v>785</v>
      </c>
      <c r="M6" s="256" t="s">
        <v>785</v>
      </c>
      <c r="N6" s="256" t="s">
        <v>785</v>
      </c>
      <c r="O6" s="256" t="s">
        <v>785</v>
      </c>
      <c r="P6" s="256" t="s">
        <v>785</v>
      </c>
      <c r="Q6" s="256" t="s">
        <v>785</v>
      </c>
      <c r="R6" s="256" t="s">
        <v>785</v>
      </c>
      <c r="S6" s="256" t="s">
        <v>785</v>
      </c>
      <c r="T6" s="256" t="s">
        <v>785</v>
      </c>
      <c r="U6" s="256" t="s">
        <v>785</v>
      </c>
      <c r="V6" s="256" t="s">
        <v>785</v>
      </c>
      <c r="W6" s="256" t="s">
        <v>785</v>
      </c>
      <c r="X6" s="256" t="s">
        <v>785</v>
      </c>
      <c r="Y6" s="256" t="s">
        <v>785</v>
      </c>
      <c r="Z6" s="256" t="s">
        <v>785</v>
      </c>
      <c r="AA6" s="256" t="s">
        <v>785</v>
      </c>
      <c r="AB6" s="256" t="s">
        <v>785</v>
      </c>
      <c r="AC6" s="256" t="s">
        <v>785</v>
      </c>
      <c r="AD6" s="256" t="s">
        <v>785</v>
      </c>
      <c r="AE6" s="256" t="s">
        <v>785</v>
      </c>
      <c r="AF6" s="256" t="s">
        <v>785</v>
      </c>
      <c r="AG6" s="256" t="s">
        <v>785</v>
      </c>
      <c r="AH6" s="256" t="s">
        <v>785</v>
      </c>
      <c r="AI6" s="256" t="s">
        <v>785</v>
      </c>
      <c r="AJ6" s="256" t="s">
        <v>785</v>
      </c>
      <c r="AK6" s="256" t="s">
        <v>785</v>
      </c>
      <c r="AL6" s="256" t="s">
        <v>785</v>
      </c>
      <c r="AM6" s="256" t="s">
        <v>785</v>
      </c>
      <c r="AN6" s="256" t="s">
        <v>785</v>
      </c>
      <c r="AO6" s="256" t="s">
        <v>785</v>
      </c>
      <c r="AP6" s="256" t="s">
        <v>785</v>
      </c>
      <c r="AQ6" s="256" t="s">
        <v>785</v>
      </c>
      <c r="AR6" s="256" t="s">
        <v>785</v>
      </c>
      <c r="AS6" s="256" t="s">
        <v>785</v>
      </c>
      <c r="AT6" s="256" t="s">
        <v>785</v>
      </c>
      <c r="AU6" s="256" t="s">
        <v>785</v>
      </c>
      <c r="AV6" s="256" t="s">
        <v>785</v>
      </c>
      <c r="AW6" s="256" t="s">
        <v>785</v>
      </c>
      <c r="AX6" s="256" t="s">
        <v>785</v>
      </c>
      <c r="AY6" s="256" t="s">
        <v>785</v>
      </c>
      <c r="AZ6" s="256" t="s">
        <v>785</v>
      </c>
      <c r="BA6" s="256" t="s">
        <v>785</v>
      </c>
      <c r="BB6" s="256" t="s">
        <v>785</v>
      </c>
      <c r="BC6" s="256" t="s">
        <v>785</v>
      </c>
      <c r="BD6" s="256" t="s">
        <v>785</v>
      </c>
      <c r="BE6" s="256" t="s">
        <v>785</v>
      </c>
      <c r="BF6" s="256" t="s">
        <v>785</v>
      </c>
    </row>
    <row r="7" spans="1:58" x14ac:dyDescent="0.3">
      <c r="A7" s="255" t="s">
        <v>786</v>
      </c>
      <c r="B7" s="256" t="s">
        <v>787</v>
      </c>
      <c r="C7" s="256" t="s">
        <v>787</v>
      </c>
      <c r="D7" s="256" t="s">
        <v>787</v>
      </c>
      <c r="E7" s="256" t="s">
        <v>787</v>
      </c>
      <c r="F7" s="256" t="s">
        <v>787</v>
      </c>
      <c r="G7" s="256" t="s">
        <v>787</v>
      </c>
      <c r="H7" s="256" t="s">
        <v>787</v>
      </c>
      <c r="I7" s="256" t="s">
        <v>787</v>
      </c>
      <c r="J7" s="256" t="s">
        <v>787</v>
      </c>
      <c r="K7" s="256" t="s">
        <v>787</v>
      </c>
      <c r="L7" s="256" t="s">
        <v>787</v>
      </c>
      <c r="M7" s="256" t="s">
        <v>787</v>
      </c>
      <c r="N7" s="256" t="s">
        <v>787</v>
      </c>
      <c r="O7" s="256" t="s">
        <v>787</v>
      </c>
      <c r="P7" s="256" t="s">
        <v>787</v>
      </c>
      <c r="Q7" s="256" t="s">
        <v>787</v>
      </c>
      <c r="R7" s="256" t="s">
        <v>787</v>
      </c>
      <c r="S7" s="256" t="s">
        <v>787</v>
      </c>
      <c r="T7" s="256" t="s">
        <v>787</v>
      </c>
      <c r="U7" s="256" t="s">
        <v>787</v>
      </c>
      <c r="V7" s="256" t="s">
        <v>787</v>
      </c>
      <c r="W7" s="256" t="s">
        <v>787</v>
      </c>
      <c r="X7" s="256" t="s">
        <v>787</v>
      </c>
      <c r="Y7" s="256" t="s">
        <v>787</v>
      </c>
      <c r="Z7" s="256" t="s">
        <v>787</v>
      </c>
      <c r="AA7" s="256" t="s">
        <v>787</v>
      </c>
      <c r="AB7" s="256" t="s">
        <v>787</v>
      </c>
      <c r="AC7" s="256" t="s">
        <v>787</v>
      </c>
      <c r="AD7" s="256" t="s">
        <v>787</v>
      </c>
      <c r="AE7" s="256" t="s">
        <v>787</v>
      </c>
      <c r="AF7" s="256" t="s">
        <v>787</v>
      </c>
      <c r="AG7" s="256" t="s">
        <v>787</v>
      </c>
      <c r="AH7" s="256" t="s">
        <v>787</v>
      </c>
      <c r="AI7" s="256" t="s">
        <v>787</v>
      </c>
      <c r="AJ7" s="256" t="s">
        <v>787</v>
      </c>
      <c r="AK7" s="256" t="s">
        <v>787</v>
      </c>
      <c r="AL7" s="256" t="s">
        <v>787</v>
      </c>
      <c r="AM7" s="256" t="s">
        <v>787</v>
      </c>
      <c r="AN7" s="256" t="s">
        <v>787</v>
      </c>
      <c r="AO7" s="256" t="s">
        <v>787</v>
      </c>
      <c r="AP7" s="256" t="s">
        <v>787</v>
      </c>
      <c r="AQ7" s="256" t="s">
        <v>787</v>
      </c>
      <c r="AR7" s="256" t="s">
        <v>787</v>
      </c>
      <c r="AS7" s="256" t="s">
        <v>787</v>
      </c>
      <c r="AT7" s="256" t="s">
        <v>787</v>
      </c>
      <c r="AU7" s="256" t="s">
        <v>787</v>
      </c>
      <c r="AV7" s="256" t="s">
        <v>787</v>
      </c>
      <c r="AW7" s="256" t="s">
        <v>787</v>
      </c>
      <c r="AX7" s="256" t="s">
        <v>787</v>
      </c>
      <c r="AY7" s="256" t="s">
        <v>787</v>
      </c>
      <c r="AZ7" s="256" t="s">
        <v>787</v>
      </c>
      <c r="BA7" s="256" t="s">
        <v>787</v>
      </c>
      <c r="BB7" s="256" t="s">
        <v>787</v>
      </c>
      <c r="BC7" s="256" t="s">
        <v>787</v>
      </c>
      <c r="BD7" s="256" t="s">
        <v>787</v>
      </c>
      <c r="BE7" s="256" t="s">
        <v>787</v>
      </c>
      <c r="BF7" s="256" t="s">
        <v>787</v>
      </c>
    </row>
    <row r="8" spans="1:58" x14ac:dyDescent="0.3">
      <c r="A8" s="255"/>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c r="AF8" s="256"/>
      <c r="AG8" s="256"/>
      <c r="AH8" s="256"/>
      <c r="AI8" s="256"/>
      <c r="AJ8" s="256"/>
      <c r="AK8" s="256"/>
      <c r="AL8" s="256"/>
      <c r="AM8" s="256"/>
      <c r="AN8" s="256"/>
      <c r="AO8" s="256"/>
      <c r="AP8" s="256"/>
      <c r="AQ8" s="256"/>
      <c r="AR8" s="256"/>
      <c r="AS8" s="256"/>
      <c r="AT8" s="256"/>
      <c r="AU8" s="256"/>
      <c r="AV8" s="256"/>
      <c r="AW8" s="256"/>
      <c r="AX8" s="256"/>
      <c r="AY8" s="256"/>
      <c r="AZ8" s="256"/>
      <c r="BA8" s="256"/>
      <c r="BB8" s="256"/>
      <c r="BC8" s="256"/>
      <c r="BD8" s="256"/>
      <c r="BE8" s="256"/>
      <c r="BF8" s="256"/>
    </row>
    <row r="9" spans="1:58" x14ac:dyDescent="0.3">
      <c r="A9" s="255" t="s">
        <v>788</v>
      </c>
      <c r="B9" s="256" t="s">
        <v>5</v>
      </c>
      <c r="C9" s="256" t="s">
        <v>5</v>
      </c>
      <c r="D9" s="256" t="s">
        <v>5</v>
      </c>
      <c r="E9" s="256" t="s">
        <v>5</v>
      </c>
      <c r="F9" s="256" t="s">
        <v>5</v>
      </c>
      <c r="G9" s="256" t="s">
        <v>5</v>
      </c>
      <c r="H9" s="256" t="s">
        <v>5</v>
      </c>
      <c r="I9" s="256" t="s">
        <v>5</v>
      </c>
      <c r="J9" s="256" t="s">
        <v>5</v>
      </c>
      <c r="K9" s="256" t="s">
        <v>5</v>
      </c>
      <c r="L9" s="256" t="s">
        <v>5</v>
      </c>
      <c r="M9" s="256" t="s">
        <v>5</v>
      </c>
      <c r="N9" s="256" t="s">
        <v>5</v>
      </c>
      <c r="O9" s="256" t="s">
        <v>5</v>
      </c>
      <c r="P9" s="256" t="s">
        <v>5</v>
      </c>
      <c r="Q9" s="256" t="s">
        <v>5</v>
      </c>
      <c r="R9" s="256" t="s">
        <v>5</v>
      </c>
      <c r="S9" s="256" t="s">
        <v>5</v>
      </c>
      <c r="T9" s="256" t="s">
        <v>5</v>
      </c>
      <c r="U9" s="256" t="s">
        <v>5</v>
      </c>
      <c r="V9" s="256" t="s">
        <v>5</v>
      </c>
      <c r="W9" s="256" t="s">
        <v>5</v>
      </c>
      <c r="X9" s="256" t="s">
        <v>5</v>
      </c>
      <c r="Y9" s="256" t="s">
        <v>5</v>
      </c>
      <c r="Z9" s="256" t="s">
        <v>5</v>
      </c>
      <c r="AA9" s="256" t="s">
        <v>5</v>
      </c>
      <c r="AB9" s="256" t="s">
        <v>5</v>
      </c>
      <c r="AC9" s="256" t="s">
        <v>5</v>
      </c>
      <c r="AD9" s="256" t="s">
        <v>5</v>
      </c>
      <c r="AE9" s="256" t="s">
        <v>5</v>
      </c>
      <c r="AF9" s="256" t="s">
        <v>5</v>
      </c>
      <c r="AG9" s="256" t="s">
        <v>5</v>
      </c>
      <c r="AH9" s="256" t="s">
        <v>5</v>
      </c>
      <c r="AI9" s="256" t="s">
        <v>5</v>
      </c>
      <c r="AJ9" s="256" t="s">
        <v>5</v>
      </c>
      <c r="AK9" s="256" t="s">
        <v>5</v>
      </c>
      <c r="AL9" s="256" t="s">
        <v>5</v>
      </c>
      <c r="AM9" s="256" t="s">
        <v>5</v>
      </c>
      <c r="AN9" s="256" t="s">
        <v>5</v>
      </c>
      <c r="AO9" s="256" t="s">
        <v>5</v>
      </c>
      <c r="AP9" s="256" t="s">
        <v>5</v>
      </c>
      <c r="AQ9" s="256" t="s">
        <v>5</v>
      </c>
      <c r="AR9" s="256" t="s">
        <v>5</v>
      </c>
      <c r="AS9" s="256" t="s">
        <v>5</v>
      </c>
      <c r="AT9" s="256" t="s">
        <v>5</v>
      </c>
      <c r="AU9" s="256" t="s">
        <v>5</v>
      </c>
      <c r="AV9" s="256" t="s">
        <v>5</v>
      </c>
      <c r="AW9" s="256" t="s">
        <v>5</v>
      </c>
      <c r="AX9" s="256" t="s">
        <v>5</v>
      </c>
      <c r="AY9" s="256" t="s">
        <v>5</v>
      </c>
      <c r="AZ9" s="256" t="s">
        <v>5</v>
      </c>
      <c r="BA9" s="256" t="s">
        <v>5</v>
      </c>
      <c r="BB9" s="256" t="s">
        <v>5</v>
      </c>
      <c r="BC9" s="256" t="s">
        <v>5</v>
      </c>
      <c r="BD9" s="256" t="s">
        <v>5</v>
      </c>
      <c r="BE9" s="256" t="s">
        <v>5</v>
      </c>
      <c r="BF9" s="256" t="s">
        <v>5</v>
      </c>
    </row>
    <row r="10" spans="1:58" x14ac:dyDescent="0.3">
      <c r="A10" s="255" t="s">
        <v>789</v>
      </c>
      <c r="B10" s="257">
        <v>417861</v>
      </c>
      <c r="C10" s="257">
        <v>402826</v>
      </c>
      <c r="D10" s="257">
        <v>422430</v>
      </c>
      <c r="E10" s="257">
        <v>396183</v>
      </c>
      <c r="F10" s="257">
        <v>2695652</v>
      </c>
      <c r="G10" s="257">
        <v>2708775</v>
      </c>
      <c r="H10" s="257">
        <v>4379278</v>
      </c>
      <c r="I10" s="257">
        <v>4422095</v>
      </c>
      <c r="J10" s="257">
        <v>5390091</v>
      </c>
      <c r="K10" s="257">
        <v>5823076</v>
      </c>
      <c r="L10" s="257">
        <v>4366107</v>
      </c>
      <c r="M10" s="257">
        <v>4246531</v>
      </c>
      <c r="N10" s="257">
        <v>4256468</v>
      </c>
      <c r="O10" s="257">
        <v>4217434</v>
      </c>
      <c r="P10" s="257">
        <v>4179763</v>
      </c>
      <c r="Q10" s="257">
        <v>3171132</v>
      </c>
      <c r="R10" s="257">
        <v>1805279</v>
      </c>
      <c r="S10" s="257">
        <v>1942225</v>
      </c>
      <c r="T10" s="257">
        <v>1931284</v>
      </c>
      <c r="U10" s="257">
        <v>1981903</v>
      </c>
      <c r="V10" s="257">
        <v>1061138</v>
      </c>
      <c r="W10" s="257">
        <v>1133728</v>
      </c>
      <c r="X10" s="257">
        <v>1043268</v>
      </c>
      <c r="Y10" s="257">
        <v>1233805</v>
      </c>
      <c r="Z10" s="257">
        <v>1177037</v>
      </c>
      <c r="AA10" s="257">
        <v>1098993</v>
      </c>
      <c r="AB10" s="257">
        <v>998456</v>
      </c>
      <c r="AC10" s="257">
        <v>1087135</v>
      </c>
      <c r="AD10" s="257">
        <v>1082369</v>
      </c>
      <c r="AE10" s="257">
        <v>1400312</v>
      </c>
      <c r="AF10" s="257">
        <v>1379460</v>
      </c>
      <c r="AG10" s="257">
        <v>1377661</v>
      </c>
      <c r="AH10" s="257">
        <v>1251764</v>
      </c>
      <c r="AI10" s="257">
        <v>1228426</v>
      </c>
      <c r="AJ10" s="257">
        <v>1459604</v>
      </c>
      <c r="AK10" s="257">
        <v>1279999</v>
      </c>
      <c r="AL10" s="257">
        <v>1537063</v>
      </c>
      <c r="AM10" s="257">
        <v>4332603</v>
      </c>
      <c r="AN10" s="257">
        <v>4387144</v>
      </c>
      <c r="AO10" s="257">
        <v>4596221</v>
      </c>
      <c r="AP10" s="257">
        <v>5489751</v>
      </c>
      <c r="AQ10" s="257">
        <v>6984388</v>
      </c>
      <c r="AR10" s="257">
        <v>6660586</v>
      </c>
      <c r="AS10" s="257">
        <v>7055431</v>
      </c>
      <c r="AT10" s="257">
        <v>6792833</v>
      </c>
      <c r="AU10" s="257">
        <v>9341748</v>
      </c>
      <c r="AV10" s="257">
        <v>10504500</v>
      </c>
      <c r="AW10" s="257">
        <v>11445166</v>
      </c>
      <c r="AX10" s="257">
        <v>12221416</v>
      </c>
      <c r="AY10" s="257">
        <v>12862921</v>
      </c>
      <c r="AZ10" s="257">
        <v>16292271</v>
      </c>
      <c r="BA10" s="257">
        <v>19920152</v>
      </c>
      <c r="BB10" s="257">
        <v>20302520</v>
      </c>
      <c r="BC10" s="257">
        <v>25623115</v>
      </c>
      <c r="BD10" s="257">
        <v>25991952</v>
      </c>
      <c r="BE10" s="257">
        <v>28521683</v>
      </c>
      <c r="BF10" s="257">
        <v>28310932</v>
      </c>
    </row>
    <row r="11" spans="1:58" x14ac:dyDescent="0.3">
      <c r="A11" s="258" t="s">
        <v>790</v>
      </c>
      <c r="B11" s="259">
        <v>355870</v>
      </c>
      <c r="C11" s="259">
        <v>311942</v>
      </c>
      <c r="D11" s="259">
        <v>266515</v>
      </c>
      <c r="E11" s="259">
        <v>170640</v>
      </c>
      <c r="F11" s="259">
        <v>2446144</v>
      </c>
      <c r="G11" s="259">
        <v>2317659</v>
      </c>
      <c r="H11" s="259">
        <v>979498</v>
      </c>
      <c r="I11" s="259">
        <v>2143674</v>
      </c>
      <c r="J11" s="259">
        <v>2853585</v>
      </c>
      <c r="K11" s="259">
        <v>2044900</v>
      </c>
      <c r="L11" s="259">
        <v>1449213</v>
      </c>
      <c r="M11" s="259">
        <v>1242500</v>
      </c>
      <c r="N11" s="259">
        <v>982930</v>
      </c>
      <c r="O11" s="259">
        <v>944726</v>
      </c>
      <c r="P11" s="259">
        <v>648540</v>
      </c>
      <c r="Q11" s="259">
        <v>474340</v>
      </c>
      <c r="R11" s="259">
        <v>673250</v>
      </c>
      <c r="S11" s="259">
        <v>601361</v>
      </c>
      <c r="T11" s="259">
        <v>656632</v>
      </c>
      <c r="U11" s="259">
        <v>695377</v>
      </c>
      <c r="V11" s="259">
        <v>806236</v>
      </c>
      <c r="W11" s="259">
        <v>813775</v>
      </c>
      <c r="X11" s="259">
        <v>749206</v>
      </c>
      <c r="Y11" s="259">
        <v>891147</v>
      </c>
      <c r="Z11" s="259">
        <v>899822</v>
      </c>
      <c r="AA11" s="259">
        <v>822542</v>
      </c>
      <c r="AB11" s="259">
        <v>716120</v>
      </c>
      <c r="AC11" s="259">
        <v>784300</v>
      </c>
      <c r="AD11" s="259">
        <v>781580</v>
      </c>
      <c r="AE11" s="259">
        <v>927548</v>
      </c>
      <c r="AF11" s="259">
        <v>911831</v>
      </c>
      <c r="AG11" s="259">
        <v>921758</v>
      </c>
      <c r="AH11" s="259">
        <v>849655</v>
      </c>
      <c r="AI11" s="259">
        <v>807148</v>
      </c>
      <c r="AJ11" s="259">
        <v>985089</v>
      </c>
      <c r="AK11" s="259">
        <v>794540</v>
      </c>
      <c r="AL11" s="259">
        <v>1039562</v>
      </c>
      <c r="AM11" s="259">
        <v>675301</v>
      </c>
      <c r="AN11" s="259">
        <v>1000921</v>
      </c>
      <c r="AO11" s="259">
        <v>1139211</v>
      </c>
      <c r="AP11" s="259">
        <v>1513090</v>
      </c>
      <c r="AQ11" s="259">
        <v>1732269</v>
      </c>
      <c r="AR11" s="259">
        <v>1400073</v>
      </c>
      <c r="AS11" s="259">
        <v>1650433</v>
      </c>
      <c r="AT11" s="259">
        <v>1841415</v>
      </c>
      <c r="AU11" s="259">
        <v>4097287</v>
      </c>
      <c r="AV11" s="259">
        <v>5517215</v>
      </c>
      <c r="AW11" s="259">
        <v>5463662</v>
      </c>
      <c r="AX11" s="259">
        <v>6106295</v>
      </c>
      <c r="AY11" s="259">
        <v>6805410</v>
      </c>
      <c r="AZ11" s="259">
        <v>7975120</v>
      </c>
      <c r="BA11" s="259">
        <v>11122283</v>
      </c>
      <c r="BB11" s="259">
        <v>10602627</v>
      </c>
      <c r="BC11" s="259">
        <v>3884323</v>
      </c>
      <c r="BD11" s="259">
        <v>3664023</v>
      </c>
      <c r="BE11" s="259">
        <v>5086534</v>
      </c>
      <c r="BF11" s="259">
        <v>5294874</v>
      </c>
    </row>
    <row r="12" spans="1:58" x14ac:dyDescent="0.3">
      <c r="A12" s="260" t="s">
        <v>791</v>
      </c>
      <c r="B12" s="261" t="s">
        <v>792</v>
      </c>
      <c r="C12" s="261" t="s">
        <v>792</v>
      </c>
      <c r="D12" s="261" t="s">
        <v>792</v>
      </c>
      <c r="E12" s="261" t="s">
        <v>792</v>
      </c>
      <c r="F12" s="262">
        <v>20850</v>
      </c>
      <c r="G12" s="262">
        <v>6736</v>
      </c>
      <c r="H12" s="262">
        <v>84257</v>
      </c>
      <c r="I12" s="262">
        <v>77472</v>
      </c>
      <c r="J12" s="262">
        <v>57002</v>
      </c>
      <c r="K12" s="262">
        <v>10298</v>
      </c>
      <c r="L12" s="262">
        <v>24646</v>
      </c>
      <c r="M12" s="262">
        <v>21178</v>
      </c>
      <c r="N12" s="262">
        <v>37608</v>
      </c>
      <c r="O12" s="262">
        <v>49409</v>
      </c>
      <c r="P12" s="262">
        <v>40527</v>
      </c>
      <c r="Q12" s="262">
        <v>11973</v>
      </c>
      <c r="R12" s="262">
        <v>33582</v>
      </c>
      <c r="S12" s="262">
        <v>186937</v>
      </c>
      <c r="T12" s="262">
        <v>349581</v>
      </c>
      <c r="U12" s="262">
        <v>397688</v>
      </c>
      <c r="V12" s="262">
        <v>350634</v>
      </c>
      <c r="W12" s="262">
        <v>309187</v>
      </c>
      <c r="X12" s="262">
        <v>327857</v>
      </c>
      <c r="Y12" s="262">
        <v>167194</v>
      </c>
      <c r="Z12" s="262">
        <v>283951</v>
      </c>
      <c r="AA12" s="262">
        <v>165487</v>
      </c>
      <c r="AB12" s="262">
        <v>28069</v>
      </c>
      <c r="AC12" s="262">
        <v>13273</v>
      </c>
      <c r="AD12" s="262">
        <v>24793</v>
      </c>
      <c r="AE12" s="262">
        <v>13353</v>
      </c>
      <c r="AF12" s="262">
        <v>41604</v>
      </c>
      <c r="AG12" s="262">
        <v>27878</v>
      </c>
      <c r="AH12" s="262">
        <v>92445</v>
      </c>
      <c r="AI12" s="262">
        <v>86663</v>
      </c>
      <c r="AJ12" s="262">
        <v>69331</v>
      </c>
      <c r="AK12" s="262">
        <v>28160</v>
      </c>
      <c r="AL12" s="262">
        <v>154109</v>
      </c>
      <c r="AM12" s="262">
        <v>107363</v>
      </c>
      <c r="AN12" s="262">
        <v>392879</v>
      </c>
      <c r="AO12" s="262">
        <v>358921</v>
      </c>
      <c r="AP12" s="262">
        <v>459396</v>
      </c>
      <c r="AQ12" s="262">
        <v>315180</v>
      </c>
      <c r="AR12" s="262">
        <v>319688</v>
      </c>
      <c r="AS12" s="262">
        <v>422585</v>
      </c>
      <c r="AT12" s="262">
        <v>809273</v>
      </c>
      <c r="AU12" s="262">
        <v>3185031</v>
      </c>
      <c r="AV12" s="262">
        <v>3381619</v>
      </c>
      <c r="AW12" s="262">
        <v>1948979</v>
      </c>
      <c r="AX12" s="262">
        <v>970681</v>
      </c>
      <c r="AY12" s="262">
        <v>3091614</v>
      </c>
      <c r="AZ12" s="262">
        <v>3193381</v>
      </c>
      <c r="BA12" s="262">
        <v>8362706</v>
      </c>
      <c r="BB12" s="262">
        <v>9612961</v>
      </c>
      <c r="BC12" s="262">
        <v>527180</v>
      </c>
      <c r="BD12" s="262">
        <v>1155253</v>
      </c>
      <c r="BE12" s="262">
        <v>2225259</v>
      </c>
      <c r="BF12" s="262">
        <v>2335403</v>
      </c>
    </row>
    <row r="13" spans="1:58" x14ac:dyDescent="0.3">
      <c r="A13" s="260" t="s">
        <v>793</v>
      </c>
      <c r="B13" s="261" t="s">
        <v>792</v>
      </c>
      <c r="C13" s="261" t="s">
        <v>792</v>
      </c>
      <c r="D13" s="261" t="s">
        <v>792</v>
      </c>
      <c r="E13" s="261" t="s">
        <v>792</v>
      </c>
      <c r="F13" s="262">
        <v>2405724</v>
      </c>
      <c r="G13" s="262">
        <v>2261079</v>
      </c>
      <c r="H13" s="262">
        <v>801450</v>
      </c>
      <c r="I13" s="262">
        <v>1935650</v>
      </c>
      <c r="J13" s="262">
        <v>1434177</v>
      </c>
      <c r="K13" s="262">
        <v>1226044</v>
      </c>
      <c r="L13" s="262">
        <v>1344061</v>
      </c>
      <c r="M13" s="262">
        <v>1154556</v>
      </c>
      <c r="N13" s="262">
        <v>870650</v>
      </c>
      <c r="O13" s="262">
        <v>637911</v>
      </c>
      <c r="P13" s="262">
        <v>324132</v>
      </c>
      <c r="Q13" s="262">
        <v>144965</v>
      </c>
      <c r="R13" s="262">
        <v>393958</v>
      </c>
      <c r="S13" s="262">
        <v>121332</v>
      </c>
      <c r="T13" s="262">
        <v>15488</v>
      </c>
      <c r="U13" s="262">
        <v>6212</v>
      </c>
      <c r="V13" s="262">
        <v>98312</v>
      </c>
      <c r="W13" s="262">
        <v>52935</v>
      </c>
      <c r="X13" s="262">
        <v>27781</v>
      </c>
      <c r="Y13" s="262">
        <v>250106</v>
      </c>
      <c r="Z13" s="262">
        <v>213090</v>
      </c>
      <c r="AA13" s="262">
        <v>329861</v>
      </c>
      <c r="AB13" s="262">
        <v>411334</v>
      </c>
      <c r="AC13" s="262">
        <v>515293</v>
      </c>
      <c r="AD13" s="262">
        <v>546507</v>
      </c>
      <c r="AE13" s="262">
        <v>649599</v>
      </c>
      <c r="AF13" s="262">
        <v>615468</v>
      </c>
      <c r="AG13" s="262">
        <v>655738</v>
      </c>
      <c r="AH13" s="262">
        <v>511863</v>
      </c>
      <c r="AI13" s="262">
        <v>475776</v>
      </c>
      <c r="AJ13" s="262">
        <v>652191</v>
      </c>
      <c r="AK13" s="262">
        <v>501935</v>
      </c>
      <c r="AL13" s="262">
        <v>643783</v>
      </c>
      <c r="AM13" s="262">
        <v>162391</v>
      </c>
      <c r="AN13" s="262">
        <v>132872</v>
      </c>
      <c r="AO13" s="262">
        <v>252003</v>
      </c>
      <c r="AP13" s="262">
        <v>226301</v>
      </c>
      <c r="AQ13" s="262">
        <v>102039</v>
      </c>
      <c r="AR13" s="262">
        <v>24081</v>
      </c>
      <c r="AS13" s="262">
        <v>34009</v>
      </c>
      <c r="AT13" s="262">
        <v>22793</v>
      </c>
      <c r="AU13" s="262">
        <v>77820</v>
      </c>
      <c r="AV13" s="262">
        <v>1135096</v>
      </c>
      <c r="AW13" s="262">
        <v>2577231</v>
      </c>
      <c r="AX13" s="262">
        <v>3680185</v>
      </c>
      <c r="AY13" s="262">
        <v>2352001</v>
      </c>
      <c r="AZ13" s="262">
        <v>3365992</v>
      </c>
      <c r="BA13" s="262">
        <v>928879</v>
      </c>
      <c r="BB13" s="262">
        <v>0</v>
      </c>
      <c r="BC13" s="262">
        <v>0</v>
      </c>
      <c r="BD13" s="262">
        <v>0</v>
      </c>
      <c r="BE13" s="262">
        <v>0</v>
      </c>
      <c r="BF13" s="262">
        <v>0</v>
      </c>
    </row>
    <row r="14" spans="1:58" x14ac:dyDescent="0.3">
      <c r="A14" s="263" t="s">
        <v>794</v>
      </c>
      <c r="B14" s="264" t="s">
        <v>792</v>
      </c>
      <c r="C14" s="264" t="s">
        <v>792</v>
      </c>
      <c r="D14" s="264" t="s">
        <v>792</v>
      </c>
      <c r="E14" s="264" t="s">
        <v>792</v>
      </c>
      <c r="F14" s="259">
        <v>2405724</v>
      </c>
      <c r="G14" s="264" t="s">
        <v>792</v>
      </c>
      <c r="H14" s="264" t="s">
        <v>792</v>
      </c>
      <c r="I14" s="264" t="s">
        <v>792</v>
      </c>
      <c r="J14" s="264" t="s">
        <v>792</v>
      </c>
      <c r="K14" s="264" t="s">
        <v>792</v>
      </c>
      <c r="L14" s="264" t="s">
        <v>792</v>
      </c>
      <c r="M14" s="264" t="s">
        <v>792</v>
      </c>
      <c r="N14" s="264" t="s">
        <v>792</v>
      </c>
      <c r="O14" s="264" t="s">
        <v>792</v>
      </c>
      <c r="P14" s="264" t="s">
        <v>792</v>
      </c>
      <c r="Q14" s="264" t="s">
        <v>792</v>
      </c>
      <c r="R14" s="259">
        <v>120957</v>
      </c>
      <c r="S14" s="259">
        <v>121332</v>
      </c>
      <c r="T14" s="259">
        <v>0</v>
      </c>
      <c r="U14" s="259">
        <v>6212</v>
      </c>
      <c r="V14" s="259">
        <v>98312</v>
      </c>
      <c r="W14" s="259">
        <v>52935</v>
      </c>
      <c r="X14" s="259">
        <v>27781</v>
      </c>
      <c r="Y14" s="259">
        <v>250106</v>
      </c>
      <c r="Z14" s="259">
        <v>193296</v>
      </c>
      <c r="AA14" s="259">
        <v>293661</v>
      </c>
      <c r="AB14" s="259">
        <v>378204</v>
      </c>
      <c r="AC14" s="259">
        <v>481297</v>
      </c>
      <c r="AD14" s="259">
        <v>546507</v>
      </c>
      <c r="AE14" s="259">
        <v>649599</v>
      </c>
      <c r="AF14" s="259">
        <v>615468</v>
      </c>
      <c r="AG14" s="259">
        <v>655738</v>
      </c>
      <c r="AH14" s="259">
        <v>511863</v>
      </c>
      <c r="AI14" s="259">
        <v>475776</v>
      </c>
      <c r="AJ14" s="259">
        <v>652191</v>
      </c>
      <c r="AK14" s="259">
        <v>501935</v>
      </c>
      <c r="AL14" s="259">
        <v>643783</v>
      </c>
      <c r="AM14" s="259">
        <v>162391</v>
      </c>
      <c r="AN14" s="259">
        <v>132872</v>
      </c>
      <c r="AO14" s="259">
        <v>252003</v>
      </c>
      <c r="AP14" s="259">
        <v>226301</v>
      </c>
      <c r="AQ14" s="259">
        <v>102039</v>
      </c>
      <c r="AR14" s="259">
        <v>24081</v>
      </c>
      <c r="AS14" s="259">
        <v>34009</v>
      </c>
      <c r="AT14" s="259">
        <v>22793</v>
      </c>
      <c r="AU14" s="259">
        <v>77820</v>
      </c>
      <c r="AV14" s="259">
        <v>1135096</v>
      </c>
      <c r="AW14" s="259">
        <v>2577231</v>
      </c>
      <c r="AX14" s="259">
        <v>3680185</v>
      </c>
      <c r="AY14" s="259">
        <v>2352001</v>
      </c>
      <c r="AZ14" s="259">
        <v>3365992</v>
      </c>
      <c r="BA14" s="259">
        <v>928879</v>
      </c>
      <c r="BB14" s="259">
        <v>0</v>
      </c>
      <c r="BC14" s="259">
        <v>0</v>
      </c>
      <c r="BD14" s="259">
        <v>0</v>
      </c>
      <c r="BE14" s="259">
        <v>0</v>
      </c>
      <c r="BF14" s="259">
        <v>0</v>
      </c>
    </row>
    <row r="15" spans="1:58" x14ac:dyDescent="0.3">
      <c r="A15" s="265" t="s">
        <v>795</v>
      </c>
      <c r="B15" s="256" t="s">
        <v>792</v>
      </c>
      <c r="C15" s="256" t="s">
        <v>792</v>
      </c>
      <c r="D15" s="256" t="s">
        <v>792</v>
      </c>
      <c r="E15" s="256" t="s">
        <v>792</v>
      </c>
      <c r="F15" s="256" t="s">
        <v>792</v>
      </c>
      <c r="G15" s="256" t="s">
        <v>792</v>
      </c>
      <c r="H15" s="256" t="s">
        <v>792</v>
      </c>
      <c r="I15" s="256" t="s">
        <v>792</v>
      </c>
      <c r="J15" s="256" t="s">
        <v>792</v>
      </c>
      <c r="K15" s="256" t="s">
        <v>792</v>
      </c>
      <c r="L15" s="256" t="s">
        <v>792</v>
      </c>
      <c r="M15" s="256" t="s">
        <v>792</v>
      </c>
      <c r="N15" s="256" t="s">
        <v>792</v>
      </c>
      <c r="O15" s="256" t="s">
        <v>792</v>
      </c>
      <c r="P15" s="256" t="s">
        <v>792</v>
      </c>
      <c r="Q15" s="256" t="s">
        <v>792</v>
      </c>
      <c r="R15" s="256" t="s">
        <v>792</v>
      </c>
      <c r="S15" s="256" t="s">
        <v>792</v>
      </c>
      <c r="T15" s="256" t="s">
        <v>792</v>
      </c>
      <c r="U15" s="256" t="s">
        <v>792</v>
      </c>
      <c r="V15" s="256" t="s">
        <v>792</v>
      </c>
      <c r="W15" s="256" t="s">
        <v>792</v>
      </c>
      <c r="X15" s="256" t="s">
        <v>792</v>
      </c>
      <c r="Y15" s="256" t="s">
        <v>792</v>
      </c>
      <c r="Z15" s="256" t="s">
        <v>792</v>
      </c>
      <c r="AA15" s="256" t="s">
        <v>792</v>
      </c>
      <c r="AB15" s="256" t="s">
        <v>792</v>
      </c>
      <c r="AC15" s="256" t="s">
        <v>792</v>
      </c>
      <c r="AD15" s="256" t="s">
        <v>792</v>
      </c>
      <c r="AE15" s="256" t="s">
        <v>792</v>
      </c>
      <c r="AF15" s="256" t="s">
        <v>792</v>
      </c>
      <c r="AG15" s="256" t="s">
        <v>792</v>
      </c>
      <c r="AH15" s="257">
        <v>511863</v>
      </c>
      <c r="AI15" s="256" t="s">
        <v>792</v>
      </c>
      <c r="AJ15" s="257">
        <v>343623</v>
      </c>
      <c r="AK15" s="257">
        <v>207871</v>
      </c>
      <c r="AL15" s="257">
        <v>643783</v>
      </c>
      <c r="AM15" s="257">
        <v>162391</v>
      </c>
      <c r="AN15" s="257">
        <v>132872</v>
      </c>
      <c r="AO15" s="257">
        <v>252003</v>
      </c>
      <c r="AP15" s="257">
        <v>226301</v>
      </c>
      <c r="AQ15" s="257">
        <v>102039</v>
      </c>
      <c r="AR15" s="257">
        <v>24081</v>
      </c>
      <c r="AS15" s="257">
        <v>34009</v>
      </c>
      <c r="AT15" s="257">
        <v>22793</v>
      </c>
      <c r="AU15" s="257">
        <v>77820</v>
      </c>
      <c r="AV15" s="257">
        <v>1135096</v>
      </c>
      <c r="AW15" s="257">
        <v>2577231</v>
      </c>
      <c r="AX15" s="257">
        <v>3680185</v>
      </c>
      <c r="AY15" s="257">
        <v>2352001</v>
      </c>
      <c r="AZ15" s="257">
        <v>3365992</v>
      </c>
      <c r="BA15" s="257">
        <v>928879</v>
      </c>
      <c r="BB15" s="257">
        <v>0</v>
      </c>
      <c r="BC15" s="257">
        <v>0</v>
      </c>
      <c r="BD15" s="257">
        <v>0</v>
      </c>
      <c r="BE15" s="257">
        <v>0</v>
      </c>
      <c r="BF15" s="257">
        <v>0</v>
      </c>
    </row>
    <row r="16" spans="1:58" x14ac:dyDescent="0.3">
      <c r="A16" s="266" t="s">
        <v>796</v>
      </c>
      <c r="B16" s="264" t="s">
        <v>792</v>
      </c>
      <c r="C16" s="264" t="s">
        <v>792</v>
      </c>
      <c r="D16" s="264" t="s">
        <v>792</v>
      </c>
      <c r="E16" s="264" t="s">
        <v>792</v>
      </c>
      <c r="F16" s="264" t="s">
        <v>792</v>
      </c>
      <c r="G16" s="264" t="s">
        <v>792</v>
      </c>
      <c r="H16" s="264" t="s">
        <v>792</v>
      </c>
      <c r="I16" s="264" t="s">
        <v>792</v>
      </c>
      <c r="J16" s="264" t="s">
        <v>792</v>
      </c>
      <c r="K16" s="264" t="s">
        <v>792</v>
      </c>
      <c r="L16" s="264" t="s">
        <v>792</v>
      </c>
      <c r="M16" s="264" t="s">
        <v>792</v>
      </c>
      <c r="N16" s="264" t="s">
        <v>792</v>
      </c>
      <c r="O16" s="264" t="s">
        <v>792</v>
      </c>
      <c r="P16" s="264" t="s">
        <v>792</v>
      </c>
      <c r="Q16" s="264" t="s">
        <v>792</v>
      </c>
      <c r="R16" s="264" t="s">
        <v>792</v>
      </c>
      <c r="S16" s="264" t="s">
        <v>792</v>
      </c>
      <c r="T16" s="264" t="s">
        <v>792</v>
      </c>
      <c r="U16" s="264" t="s">
        <v>792</v>
      </c>
      <c r="V16" s="264" t="s">
        <v>792</v>
      </c>
      <c r="W16" s="264" t="s">
        <v>792</v>
      </c>
      <c r="X16" s="264" t="s">
        <v>792</v>
      </c>
      <c r="Y16" s="264" t="s">
        <v>792</v>
      </c>
      <c r="Z16" s="264" t="s">
        <v>792</v>
      </c>
      <c r="AA16" s="264" t="s">
        <v>792</v>
      </c>
      <c r="AB16" s="264" t="s">
        <v>792</v>
      </c>
      <c r="AC16" s="264" t="s">
        <v>792</v>
      </c>
      <c r="AD16" s="264" t="s">
        <v>792</v>
      </c>
      <c r="AE16" s="264" t="s">
        <v>792</v>
      </c>
      <c r="AF16" s="264" t="s">
        <v>792</v>
      </c>
      <c r="AG16" s="264" t="s">
        <v>792</v>
      </c>
      <c r="AH16" s="259">
        <v>511863</v>
      </c>
      <c r="AI16" s="264" t="s">
        <v>792</v>
      </c>
      <c r="AJ16" s="259">
        <v>0</v>
      </c>
      <c r="AK16" s="259">
        <v>0</v>
      </c>
      <c r="AL16" s="259">
        <v>643783</v>
      </c>
      <c r="AM16" s="259">
        <v>162391</v>
      </c>
      <c r="AN16" s="259">
        <v>132872</v>
      </c>
      <c r="AO16" s="259">
        <v>252003</v>
      </c>
      <c r="AP16" s="264" t="s">
        <v>792</v>
      </c>
      <c r="AQ16" s="264" t="s">
        <v>792</v>
      </c>
      <c r="AR16" s="259">
        <v>24081</v>
      </c>
      <c r="AS16" s="259">
        <v>34009</v>
      </c>
      <c r="AT16" s="259">
        <v>22793</v>
      </c>
      <c r="AU16" s="259">
        <v>77820</v>
      </c>
      <c r="AV16" s="259">
        <v>1135096</v>
      </c>
      <c r="AW16" s="259">
        <v>2577231</v>
      </c>
      <c r="AX16" s="259">
        <v>0</v>
      </c>
      <c r="AY16" s="259">
        <v>0</v>
      </c>
      <c r="AZ16" s="259">
        <v>0</v>
      </c>
      <c r="BA16" s="259">
        <v>0</v>
      </c>
      <c r="BB16" s="259">
        <v>0</v>
      </c>
      <c r="BC16" s="259">
        <v>0</v>
      </c>
      <c r="BD16" s="259">
        <v>0</v>
      </c>
      <c r="BE16" s="259">
        <v>0</v>
      </c>
      <c r="BF16" s="259">
        <v>0</v>
      </c>
    </row>
    <row r="17" spans="1:58" x14ac:dyDescent="0.3">
      <c r="A17" s="266" t="s">
        <v>797</v>
      </c>
      <c r="B17" s="264" t="s">
        <v>792</v>
      </c>
      <c r="C17" s="264" t="s">
        <v>792</v>
      </c>
      <c r="D17" s="264" t="s">
        <v>792</v>
      </c>
      <c r="E17" s="264" t="s">
        <v>792</v>
      </c>
      <c r="F17" s="264" t="s">
        <v>792</v>
      </c>
      <c r="G17" s="264" t="s">
        <v>792</v>
      </c>
      <c r="H17" s="264" t="s">
        <v>792</v>
      </c>
      <c r="I17" s="264" t="s">
        <v>792</v>
      </c>
      <c r="J17" s="264" t="s">
        <v>792</v>
      </c>
      <c r="K17" s="264" t="s">
        <v>792</v>
      </c>
      <c r="L17" s="264" t="s">
        <v>792</v>
      </c>
      <c r="M17" s="264" t="s">
        <v>792</v>
      </c>
      <c r="N17" s="264" t="s">
        <v>792</v>
      </c>
      <c r="O17" s="264" t="s">
        <v>792</v>
      </c>
      <c r="P17" s="264" t="s">
        <v>792</v>
      </c>
      <c r="Q17" s="264" t="s">
        <v>792</v>
      </c>
      <c r="R17" s="264" t="s">
        <v>792</v>
      </c>
      <c r="S17" s="264" t="s">
        <v>792</v>
      </c>
      <c r="T17" s="264" t="s">
        <v>792</v>
      </c>
      <c r="U17" s="264" t="s">
        <v>792</v>
      </c>
      <c r="V17" s="264" t="s">
        <v>792</v>
      </c>
      <c r="W17" s="264" t="s">
        <v>792</v>
      </c>
      <c r="X17" s="264" t="s">
        <v>792</v>
      </c>
      <c r="Y17" s="264" t="s">
        <v>792</v>
      </c>
      <c r="Z17" s="264" t="s">
        <v>792</v>
      </c>
      <c r="AA17" s="264" t="s">
        <v>792</v>
      </c>
      <c r="AB17" s="264" t="s">
        <v>792</v>
      </c>
      <c r="AC17" s="264" t="s">
        <v>792</v>
      </c>
      <c r="AD17" s="264" t="s">
        <v>792</v>
      </c>
      <c r="AE17" s="264" t="s">
        <v>792</v>
      </c>
      <c r="AF17" s="264" t="s">
        <v>792</v>
      </c>
      <c r="AG17" s="264" t="s">
        <v>792</v>
      </c>
      <c r="AH17" s="259">
        <v>0</v>
      </c>
      <c r="AI17" s="264" t="s">
        <v>792</v>
      </c>
      <c r="AJ17" s="259">
        <v>343623</v>
      </c>
      <c r="AK17" s="259">
        <v>207871</v>
      </c>
      <c r="AL17" s="259">
        <v>0</v>
      </c>
      <c r="AM17" s="259">
        <v>0</v>
      </c>
      <c r="AN17" s="259">
        <v>0</v>
      </c>
      <c r="AO17" s="259">
        <v>0</v>
      </c>
      <c r="AP17" s="264" t="s">
        <v>792</v>
      </c>
      <c r="AQ17" s="264" t="s">
        <v>792</v>
      </c>
      <c r="AR17" s="259">
        <v>0</v>
      </c>
      <c r="AS17" s="259">
        <v>0</v>
      </c>
      <c r="AT17" s="259">
        <v>0</v>
      </c>
      <c r="AU17" s="259">
        <v>0</v>
      </c>
      <c r="AV17" s="259">
        <v>0</v>
      </c>
      <c r="AW17" s="259">
        <v>0</v>
      </c>
      <c r="AX17" s="259">
        <v>3680185</v>
      </c>
      <c r="AY17" s="259">
        <v>2352001</v>
      </c>
      <c r="AZ17" s="259">
        <v>3365992</v>
      </c>
      <c r="BA17" s="259">
        <v>928879</v>
      </c>
      <c r="BB17" s="259">
        <v>0</v>
      </c>
      <c r="BC17" s="259">
        <v>0</v>
      </c>
      <c r="BD17" s="259">
        <v>0</v>
      </c>
      <c r="BE17" s="259">
        <v>0</v>
      </c>
      <c r="BF17" s="259">
        <v>0</v>
      </c>
    </row>
    <row r="18" spans="1:58" x14ac:dyDescent="0.3">
      <c r="A18" s="266" t="s">
        <v>798</v>
      </c>
      <c r="B18" s="264" t="s">
        <v>792</v>
      </c>
      <c r="C18" s="264" t="s">
        <v>792</v>
      </c>
      <c r="D18" s="264" t="s">
        <v>792</v>
      </c>
      <c r="E18" s="264" t="s">
        <v>792</v>
      </c>
      <c r="F18" s="264" t="s">
        <v>792</v>
      </c>
      <c r="G18" s="264" t="s">
        <v>792</v>
      </c>
      <c r="H18" s="264" t="s">
        <v>792</v>
      </c>
      <c r="I18" s="264" t="s">
        <v>792</v>
      </c>
      <c r="J18" s="264" t="s">
        <v>792</v>
      </c>
      <c r="K18" s="264" t="s">
        <v>792</v>
      </c>
      <c r="L18" s="264" t="s">
        <v>792</v>
      </c>
      <c r="M18" s="264" t="s">
        <v>792</v>
      </c>
      <c r="N18" s="264" t="s">
        <v>792</v>
      </c>
      <c r="O18" s="264" t="s">
        <v>792</v>
      </c>
      <c r="P18" s="264" t="s">
        <v>792</v>
      </c>
      <c r="Q18" s="264" t="s">
        <v>792</v>
      </c>
      <c r="R18" s="264" t="s">
        <v>792</v>
      </c>
      <c r="S18" s="264" t="s">
        <v>792</v>
      </c>
      <c r="T18" s="264" t="s">
        <v>792</v>
      </c>
      <c r="U18" s="264" t="s">
        <v>792</v>
      </c>
      <c r="V18" s="264" t="s">
        <v>792</v>
      </c>
      <c r="W18" s="264" t="s">
        <v>792</v>
      </c>
      <c r="X18" s="264" t="s">
        <v>792</v>
      </c>
      <c r="Y18" s="264" t="s">
        <v>792</v>
      </c>
      <c r="Z18" s="264" t="s">
        <v>792</v>
      </c>
      <c r="AA18" s="264" t="s">
        <v>792</v>
      </c>
      <c r="AB18" s="264" t="s">
        <v>792</v>
      </c>
      <c r="AC18" s="264" t="s">
        <v>792</v>
      </c>
      <c r="AD18" s="264" t="s">
        <v>792</v>
      </c>
      <c r="AE18" s="264" t="s">
        <v>792</v>
      </c>
      <c r="AF18" s="264" t="s">
        <v>792</v>
      </c>
      <c r="AG18" s="264" t="s">
        <v>792</v>
      </c>
      <c r="AH18" s="259">
        <v>0</v>
      </c>
      <c r="AI18" s="264" t="s">
        <v>792</v>
      </c>
      <c r="AJ18" s="259">
        <v>0</v>
      </c>
      <c r="AK18" s="259">
        <v>0</v>
      </c>
      <c r="AL18" s="259">
        <v>0</v>
      </c>
      <c r="AM18" s="259">
        <v>0</v>
      </c>
      <c r="AN18" s="259">
        <v>0</v>
      </c>
      <c r="AO18" s="259">
        <v>0</v>
      </c>
      <c r="AP18" s="264" t="s">
        <v>792</v>
      </c>
      <c r="AQ18" s="264" t="s">
        <v>792</v>
      </c>
      <c r="AR18" s="259">
        <v>0</v>
      </c>
      <c r="AS18" s="259">
        <v>0</v>
      </c>
      <c r="AT18" s="259">
        <v>0</v>
      </c>
      <c r="AU18" s="259">
        <v>0</v>
      </c>
      <c r="AV18" s="259">
        <v>0</v>
      </c>
      <c r="AW18" s="259">
        <v>0</v>
      </c>
      <c r="AX18" s="259">
        <v>0</v>
      </c>
      <c r="AY18" s="259">
        <v>0</v>
      </c>
      <c r="AZ18" s="259">
        <v>0</v>
      </c>
      <c r="BA18" s="259">
        <v>0</v>
      </c>
      <c r="BB18" s="259">
        <v>0</v>
      </c>
      <c r="BC18" s="259">
        <v>0</v>
      </c>
      <c r="BD18" s="259">
        <v>0</v>
      </c>
      <c r="BE18" s="259">
        <v>0</v>
      </c>
      <c r="BF18" s="259">
        <v>0</v>
      </c>
    </row>
    <row r="19" spans="1:58" x14ac:dyDescent="0.3">
      <c r="A19" s="265" t="s">
        <v>799</v>
      </c>
      <c r="B19" s="256" t="s">
        <v>792</v>
      </c>
      <c r="C19" s="256" t="s">
        <v>792</v>
      </c>
      <c r="D19" s="256" t="s">
        <v>792</v>
      </c>
      <c r="E19" s="256" t="s">
        <v>792</v>
      </c>
      <c r="F19" s="256" t="s">
        <v>792</v>
      </c>
      <c r="G19" s="256" t="s">
        <v>792</v>
      </c>
      <c r="H19" s="256" t="s">
        <v>792</v>
      </c>
      <c r="I19" s="256" t="s">
        <v>792</v>
      </c>
      <c r="J19" s="256" t="s">
        <v>792</v>
      </c>
      <c r="K19" s="256" t="s">
        <v>792</v>
      </c>
      <c r="L19" s="256" t="s">
        <v>792</v>
      </c>
      <c r="M19" s="256" t="s">
        <v>792</v>
      </c>
      <c r="N19" s="256" t="s">
        <v>792</v>
      </c>
      <c r="O19" s="256" t="s">
        <v>792</v>
      </c>
      <c r="P19" s="256" t="s">
        <v>792</v>
      </c>
      <c r="Q19" s="256" t="s">
        <v>792</v>
      </c>
      <c r="R19" s="256" t="s">
        <v>792</v>
      </c>
      <c r="S19" s="256" t="s">
        <v>792</v>
      </c>
      <c r="T19" s="256" t="s">
        <v>792</v>
      </c>
      <c r="U19" s="256" t="s">
        <v>792</v>
      </c>
      <c r="V19" s="256" t="s">
        <v>792</v>
      </c>
      <c r="W19" s="256" t="s">
        <v>792</v>
      </c>
      <c r="X19" s="256" t="s">
        <v>792</v>
      </c>
      <c r="Y19" s="256" t="s">
        <v>792</v>
      </c>
      <c r="Z19" s="256" t="s">
        <v>792</v>
      </c>
      <c r="AA19" s="256" t="s">
        <v>792</v>
      </c>
      <c r="AB19" s="256" t="s">
        <v>792</v>
      </c>
      <c r="AC19" s="256" t="s">
        <v>792</v>
      </c>
      <c r="AD19" s="256" t="s">
        <v>792</v>
      </c>
      <c r="AE19" s="256" t="s">
        <v>792</v>
      </c>
      <c r="AF19" s="256" t="s">
        <v>792</v>
      </c>
      <c r="AG19" s="256" t="s">
        <v>792</v>
      </c>
      <c r="AH19" s="257">
        <v>0</v>
      </c>
      <c r="AI19" s="256" t="s">
        <v>792</v>
      </c>
      <c r="AJ19" s="257">
        <v>308568</v>
      </c>
      <c r="AK19" s="257">
        <v>294064</v>
      </c>
      <c r="AL19" s="257">
        <v>0</v>
      </c>
      <c r="AM19" s="257">
        <v>0</v>
      </c>
      <c r="AN19" s="257">
        <v>0</v>
      </c>
      <c r="AO19" s="257">
        <v>0</v>
      </c>
      <c r="AP19" s="257">
        <v>0</v>
      </c>
      <c r="AQ19" s="257">
        <v>0</v>
      </c>
      <c r="AR19" s="257">
        <v>0</v>
      </c>
      <c r="AS19" s="257">
        <v>0</v>
      </c>
      <c r="AT19" s="257">
        <v>0</v>
      </c>
      <c r="AU19" s="257">
        <v>0</v>
      </c>
      <c r="AV19" s="257">
        <v>0</v>
      </c>
      <c r="AW19" s="257">
        <v>0</v>
      </c>
      <c r="AX19" s="257">
        <v>0</v>
      </c>
      <c r="AY19" s="257">
        <v>0</v>
      </c>
      <c r="AZ19" s="257">
        <v>0</v>
      </c>
      <c r="BA19" s="257">
        <v>0</v>
      </c>
      <c r="BB19" s="257">
        <v>0</v>
      </c>
      <c r="BC19" s="257">
        <v>0</v>
      </c>
      <c r="BD19" s="257">
        <v>0</v>
      </c>
      <c r="BE19" s="257">
        <v>0</v>
      </c>
      <c r="BF19" s="257">
        <v>0</v>
      </c>
    </row>
    <row r="20" spans="1:58" x14ac:dyDescent="0.3">
      <c r="A20" s="263" t="s">
        <v>800</v>
      </c>
      <c r="B20" s="264" t="s">
        <v>792</v>
      </c>
      <c r="C20" s="264" t="s">
        <v>792</v>
      </c>
      <c r="D20" s="264" t="s">
        <v>792</v>
      </c>
      <c r="E20" s="264" t="s">
        <v>792</v>
      </c>
      <c r="F20" s="259">
        <v>0</v>
      </c>
      <c r="G20" s="264" t="s">
        <v>792</v>
      </c>
      <c r="H20" s="264" t="s">
        <v>792</v>
      </c>
      <c r="I20" s="264" t="s">
        <v>792</v>
      </c>
      <c r="J20" s="264" t="s">
        <v>792</v>
      </c>
      <c r="K20" s="264" t="s">
        <v>792</v>
      </c>
      <c r="L20" s="264" t="s">
        <v>792</v>
      </c>
      <c r="M20" s="264" t="s">
        <v>792</v>
      </c>
      <c r="N20" s="264" t="s">
        <v>792</v>
      </c>
      <c r="O20" s="264" t="s">
        <v>792</v>
      </c>
      <c r="P20" s="264" t="s">
        <v>792</v>
      </c>
      <c r="Q20" s="264" t="s">
        <v>792</v>
      </c>
      <c r="R20" s="259">
        <v>273001</v>
      </c>
      <c r="S20" s="259">
        <v>0</v>
      </c>
      <c r="T20" s="259">
        <v>15488</v>
      </c>
      <c r="U20" s="259">
        <v>0</v>
      </c>
      <c r="V20" s="259">
        <v>0</v>
      </c>
      <c r="W20" s="259">
        <v>0</v>
      </c>
      <c r="X20" s="259">
        <v>0</v>
      </c>
      <c r="Y20" s="259">
        <v>0</v>
      </c>
      <c r="Z20" s="259">
        <v>19794</v>
      </c>
      <c r="AA20" s="259">
        <v>36200</v>
      </c>
      <c r="AB20" s="259">
        <v>33130</v>
      </c>
      <c r="AC20" s="259">
        <v>33996</v>
      </c>
      <c r="AD20" s="259">
        <v>0</v>
      </c>
      <c r="AE20" s="259">
        <v>0</v>
      </c>
      <c r="AF20" s="259">
        <v>0</v>
      </c>
      <c r="AG20" s="259">
        <v>0</v>
      </c>
      <c r="AH20" s="259">
        <v>0</v>
      </c>
      <c r="AI20" s="259">
        <v>0</v>
      </c>
      <c r="AJ20" s="259">
        <v>0</v>
      </c>
      <c r="AK20" s="259">
        <v>0</v>
      </c>
      <c r="AL20" s="259">
        <v>0</v>
      </c>
      <c r="AM20" s="259">
        <v>0</v>
      </c>
      <c r="AN20" s="259">
        <v>0</v>
      </c>
      <c r="AO20" s="259">
        <v>0</v>
      </c>
      <c r="AP20" s="259">
        <v>0</v>
      </c>
      <c r="AQ20" s="259">
        <v>0</v>
      </c>
      <c r="AR20" s="259">
        <v>0</v>
      </c>
      <c r="AS20" s="259">
        <v>0</v>
      </c>
      <c r="AT20" s="259">
        <v>0</v>
      </c>
      <c r="AU20" s="259">
        <v>0</v>
      </c>
      <c r="AV20" s="259">
        <v>0</v>
      </c>
      <c r="AW20" s="259">
        <v>0</v>
      </c>
      <c r="AX20" s="259">
        <v>0</v>
      </c>
      <c r="AY20" s="259">
        <v>0</v>
      </c>
      <c r="AZ20" s="259">
        <v>0</v>
      </c>
      <c r="BA20" s="259">
        <v>0</v>
      </c>
      <c r="BB20" s="259">
        <v>0</v>
      </c>
      <c r="BC20" s="259">
        <v>0</v>
      </c>
      <c r="BD20" s="259">
        <v>0</v>
      </c>
      <c r="BE20" s="259">
        <v>0</v>
      </c>
      <c r="BF20" s="259">
        <v>0</v>
      </c>
    </row>
    <row r="21" spans="1:58" x14ac:dyDescent="0.3">
      <c r="A21" s="260" t="s">
        <v>801</v>
      </c>
      <c r="B21" s="261" t="s">
        <v>792</v>
      </c>
      <c r="C21" s="261" t="s">
        <v>792</v>
      </c>
      <c r="D21" s="261" t="s">
        <v>792</v>
      </c>
      <c r="E21" s="261" t="s">
        <v>792</v>
      </c>
      <c r="F21" s="262">
        <v>1944</v>
      </c>
      <c r="G21" s="262">
        <v>200</v>
      </c>
      <c r="H21" s="262">
        <v>14299</v>
      </c>
      <c r="I21" s="262">
        <v>82756</v>
      </c>
      <c r="J21" s="262">
        <v>1382</v>
      </c>
      <c r="K21" s="262">
        <v>729009</v>
      </c>
      <c r="L21" s="262">
        <v>2729</v>
      </c>
      <c r="M21" s="262">
        <v>1130</v>
      </c>
      <c r="N21" s="262">
        <v>3377</v>
      </c>
      <c r="O21" s="262">
        <v>2057</v>
      </c>
      <c r="P21" s="262">
        <v>1780</v>
      </c>
      <c r="Q21" s="262">
        <v>1471</v>
      </c>
      <c r="R21" s="262">
        <v>989</v>
      </c>
      <c r="S21" s="262">
        <v>15048</v>
      </c>
      <c r="T21" s="262">
        <v>20863</v>
      </c>
      <c r="U21" s="262">
        <v>19594</v>
      </c>
      <c r="V21" s="262">
        <v>1835</v>
      </c>
      <c r="W21" s="262">
        <v>1764</v>
      </c>
      <c r="X21" s="262">
        <v>3697</v>
      </c>
      <c r="Y21" s="262">
        <v>244960</v>
      </c>
      <c r="Z21" s="262">
        <v>244499</v>
      </c>
      <c r="AA21" s="262">
        <v>123308</v>
      </c>
      <c r="AB21" s="262">
        <v>83690</v>
      </c>
      <c r="AC21" s="262">
        <v>110525</v>
      </c>
      <c r="AD21" s="262">
        <v>30680</v>
      </c>
      <c r="AE21" s="262">
        <v>40937</v>
      </c>
      <c r="AF21" s="262">
        <v>79173</v>
      </c>
      <c r="AG21" s="262">
        <v>51576</v>
      </c>
      <c r="AH21" s="262">
        <v>62046</v>
      </c>
      <c r="AI21" s="262">
        <v>63713</v>
      </c>
      <c r="AJ21" s="262">
        <v>88073</v>
      </c>
      <c r="AK21" s="262">
        <v>37097</v>
      </c>
      <c r="AL21" s="262">
        <v>34932</v>
      </c>
      <c r="AM21" s="262">
        <v>18452</v>
      </c>
      <c r="AN21" s="262">
        <v>36023</v>
      </c>
      <c r="AO21" s="262">
        <v>86047</v>
      </c>
      <c r="AP21" s="262">
        <v>374598</v>
      </c>
      <c r="AQ21" s="262">
        <v>213830</v>
      </c>
      <c r="AR21" s="262">
        <v>210437</v>
      </c>
      <c r="AS21" s="262">
        <v>197907</v>
      </c>
      <c r="AT21" s="262">
        <v>386165</v>
      </c>
      <c r="AU21" s="262">
        <v>22568</v>
      </c>
      <c r="AV21" s="262">
        <v>329548</v>
      </c>
      <c r="AW21" s="262">
        <v>291783</v>
      </c>
      <c r="AX21" s="262">
        <v>915033</v>
      </c>
      <c r="AY21" s="262">
        <v>845187</v>
      </c>
      <c r="AZ21" s="262">
        <v>888980</v>
      </c>
      <c r="BA21" s="262">
        <v>1079329</v>
      </c>
      <c r="BB21" s="262">
        <v>166304</v>
      </c>
      <c r="BC21" s="262">
        <v>2230118</v>
      </c>
      <c r="BD21" s="262">
        <v>1357896</v>
      </c>
      <c r="BE21" s="262">
        <v>1613769</v>
      </c>
      <c r="BF21" s="262">
        <v>1743491</v>
      </c>
    </row>
    <row r="22" spans="1:58" x14ac:dyDescent="0.3">
      <c r="A22" s="263" t="s">
        <v>802</v>
      </c>
      <c r="B22" s="259">
        <v>8019</v>
      </c>
      <c r="C22" s="259">
        <v>2010</v>
      </c>
      <c r="D22" s="259">
        <v>4789</v>
      </c>
      <c r="E22" s="259">
        <v>1950</v>
      </c>
      <c r="F22" s="264" t="s">
        <v>792</v>
      </c>
      <c r="G22" s="264" t="s">
        <v>792</v>
      </c>
      <c r="H22" s="264" t="s">
        <v>792</v>
      </c>
      <c r="I22" s="264" t="s">
        <v>792</v>
      </c>
      <c r="J22" s="264" t="s">
        <v>792</v>
      </c>
      <c r="K22" s="264" t="s">
        <v>792</v>
      </c>
      <c r="L22" s="264" t="s">
        <v>792</v>
      </c>
      <c r="M22" s="264" t="s">
        <v>792</v>
      </c>
      <c r="N22" s="264" t="s">
        <v>792</v>
      </c>
      <c r="O22" s="264" t="s">
        <v>792</v>
      </c>
      <c r="P22" s="264" t="s">
        <v>792</v>
      </c>
      <c r="Q22" s="264" t="s">
        <v>792</v>
      </c>
      <c r="R22" s="264" t="s">
        <v>792</v>
      </c>
      <c r="S22" s="259">
        <v>0</v>
      </c>
      <c r="T22" s="264" t="s">
        <v>792</v>
      </c>
      <c r="U22" s="259">
        <v>0</v>
      </c>
      <c r="V22" s="264" t="s">
        <v>792</v>
      </c>
      <c r="W22" s="259">
        <v>1764</v>
      </c>
      <c r="X22" s="259">
        <v>3697</v>
      </c>
      <c r="Y22" s="259">
        <v>86044</v>
      </c>
      <c r="Z22" s="259">
        <v>244499</v>
      </c>
      <c r="AA22" s="259">
        <v>123308</v>
      </c>
      <c r="AB22" s="259">
        <v>83690</v>
      </c>
      <c r="AC22" s="259">
        <v>110525</v>
      </c>
      <c r="AD22" s="259">
        <v>30680</v>
      </c>
      <c r="AE22" s="259">
        <v>40937</v>
      </c>
      <c r="AF22" s="259">
        <v>79173</v>
      </c>
      <c r="AG22" s="259">
        <v>51576</v>
      </c>
      <c r="AH22" s="259">
        <v>62046</v>
      </c>
      <c r="AI22" s="259">
        <v>63713</v>
      </c>
      <c r="AJ22" s="259">
        <v>88073</v>
      </c>
      <c r="AK22" s="259">
        <v>37097</v>
      </c>
      <c r="AL22" s="259">
        <v>34932</v>
      </c>
      <c r="AM22" s="259">
        <v>18452</v>
      </c>
      <c r="AN22" s="259">
        <v>36023</v>
      </c>
      <c r="AO22" s="259">
        <v>86047</v>
      </c>
      <c r="AP22" s="259">
        <v>374598</v>
      </c>
      <c r="AQ22" s="259">
        <v>213830</v>
      </c>
      <c r="AR22" s="259">
        <v>210437</v>
      </c>
      <c r="AS22" s="259">
        <v>197907</v>
      </c>
      <c r="AT22" s="259">
        <v>386165</v>
      </c>
      <c r="AU22" s="259">
        <v>22568</v>
      </c>
      <c r="AV22" s="259">
        <v>329548</v>
      </c>
      <c r="AW22" s="259">
        <v>291783</v>
      </c>
      <c r="AX22" s="259">
        <v>915033</v>
      </c>
      <c r="AY22" s="259">
        <v>845187</v>
      </c>
      <c r="AZ22" s="259">
        <v>888980</v>
      </c>
      <c r="BA22" s="259">
        <v>1079329</v>
      </c>
      <c r="BB22" s="259">
        <v>166304</v>
      </c>
      <c r="BC22" s="259">
        <v>2230118</v>
      </c>
      <c r="BD22" s="259">
        <v>1357896</v>
      </c>
      <c r="BE22" s="259">
        <v>1613769</v>
      </c>
      <c r="BF22" s="259">
        <v>1743491</v>
      </c>
    </row>
    <row r="23" spans="1:58" x14ac:dyDescent="0.3">
      <c r="A23" s="263" t="s">
        <v>803</v>
      </c>
      <c r="B23" s="264" t="s">
        <v>792</v>
      </c>
      <c r="C23" s="264" t="s">
        <v>792</v>
      </c>
      <c r="D23" s="264" t="s">
        <v>792</v>
      </c>
      <c r="E23" s="264" t="s">
        <v>792</v>
      </c>
      <c r="F23" s="264" t="s">
        <v>792</v>
      </c>
      <c r="G23" s="264" t="s">
        <v>792</v>
      </c>
      <c r="H23" s="264" t="s">
        <v>792</v>
      </c>
      <c r="I23" s="264" t="s">
        <v>792</v>
      </c>
      <c r="J23" s="264" t="s">
        <v>792</v>
      </c>
      <c r="K23" s="264" t="s">
        <v>792</v>
      </c>
      <c r="L23" s="264" t="s">
        <v>792</v>
      </c>
      <c r="M23" s="264" t="s">
        <v>792</v>
      </c>
      <c r="N23" s="264" t="s">
        <v>792</v>
      </c>
      <c r="O23" s="264" t="s">
        <v>792</v>
      </c>
      <c r="P23" s="264" t="s">
        <v>792</v>
      </c>
      <c r="Q23" s="264" t="s">
        <v>792</v>
      </c>
      <c r="R23" s="264" t="s">
        <v>792</v>
      </c>
      <c r="S23" s="259">
        <v>15048</v>
      </c>
      <c r="T23" s="264" t="s">
        <v>792</v>
      </c>
      <c r="U23" s="259">
        <v>19594</v>
      </c>
      <c r="V23" s="264" t="s">
        <v>792</v>
      </c>
      <c r="W23" s="259">
        <v>0</v>
      </c>
      <c r="X23" s="259">
        <v>0</v>
      </c>
      <c r="Y23" s="259">
        <v>158916</v>
      </c>
      <c r="Z23" s="259">
        <v>0</v>
      </c>
      <c r="AA23" s="259">
        <v>0</v>
      </c>
      <c r="AB23" s="259">
        <v>0</v>
      </c>
      <c r="AC23" s="259">
        <v>0</v>
      </c>
      <c r="AD23" s="259">
        <v>0</v>
      </c>
      <c r="AE23" s="259">
        <v>0</v>
      </c>
      <c r="AF23" s="259">
        <v>0</v>
      </c>
      <c r="AG23" s="259">
        <v>0</v>
      </c>
      <c r="AH23" s="259">
        <v>0</v>
      </c>
      <c r="AI23" s="259">
        <v>0</v>
      </c>
      <c r="AJ23" s="259">
        <v>0</v>
      </c>
      <c r="AK23" s="259">
        <v>0</v>
      </c>
      <c r="AL23" s="259">
        <v>0</v>
      </c>
      <c r="AM23" s="259">
        <v>0</v>
      </c>
      <c r="AN23" s="259">
        <v>0</v>
      </c>
      <c r="AO23" s="259">
        <v>0</v>
      </c>
      <c r="AP23" s="259">
        <v>0</v>
      </c>
      <c r="AQ23" s="259">
        <v>0</v>
      </c>
      <c r="AR23" s="259">
        <v>0</v>
      </c>
      <c r="AS23" s="259">
        <v>0</v>
      </c>
      <c r="AT23" s="259">
        <v>0</v>
      </c>
      <c r="AU23" s="259">
        <v>0</v>
      </c>
      <c r="AV23" s="259">
        <v>0</v>
      </c>
      <c r="AW23" s="259">
        <v>0</v>
      </c>
      <c r="AX23" s="259">
        <v>0</v>
      </c>
      <c r="AY23" s="259">
        <v>0</v>
      </c>
      <c r="AZ23" s="259">
        <v>0</v>
      </c>
      <c r="BA23" s="259">
        <v>0</v>
      </c>
      <c r="BB23" s="259">
        <v>0</v>
      </c>
      <c r="BC23" s="259">
        <v>0</v>
      </c>
      <c r="BD23" s="259">
        <v>0</v>
      </c>
      <c r="BE23" s="259">
        <v>0</v>
      </c>
      <c r="BF23" s="259">
        <v>0</v>
      </c>
    </row>
    <row r="24" spans="1:58" x14ac:dyDescent="0.3">
      <c r="A24" s="260" t="s">
        <v>804</v>
      </c>
      <c r="B24" s="262">
        <v>0</v>
      </c>
      <c r="C24" s="262">
        <v>0</v>
      </c>
      <c r="D24" s="262">
        <v>0</v>
      </c>
      <c r="E24" s="262">
        <v>0</v>
      </c>
      <c r="F24" s="262">
        <v>0</v>
      </c>
      <c r="G24" s="262">
        <v>0</v>
      </c>
      <c r="H24" s="262">
        <v>0</v>
      </c>
      <c r="I24" s="262">
        <v>0</v>
      </c>
      <c r="J24" s="262">
        <v>0</v>
      </c>
      <c r="K24" s="262">
        <v>0</v>
      </c>
      <c r="L24" s="262">
        <v>0</v>
      </c>
      <c r="M24" s="262">
        <v>0</v>
      </c>
      <c r="N24" s="262">
        <v>0</v>
      </c>
      <c r="O24" s="262">
        <v>0</v>
      </c>
      <c r="P24" s="262">
        <v>0</v>
      </c>
      <c r="Q24" s="262">
        <v>0</v>
      </c>
      <c r="R24" s="262">
        <v>0</v>
      </c>
      <c r="S24" s="262">
        <v>25856</v>
      </c>
      <c r="T24" s="262">
        <v>0</v>
      </c>
      <c r="U24" s="262">
        <v>0</v>
      </c>
      <c r="V24" s="262">
        <v>8784</v>
      </c>
      <c r="W24" s="262">
        <v>82347</v>
      </c>
      <c r="X24" s="262">
        <v>63188</v>
      </c>
      <c r="Y24" s="262">
        <v>9269</v>
      </c>
      <c r="Z24" s="262">
        <v>25279</v>
      </c>
      <c r="AA24" s="262">
        <v>65364</v>
      </c>
      <c r="AB24" s="262">
        <v>75590</v>
      </c>
      <c r="AC24" s="262">
        <v>33108</v>
      </c>
      <c r="AD24" s="262">
        <v>33192</v>
      </c>
      <c r="AE24" s="262">
        <v>63324</v>
      </c>
      <c r="AF24" s="262">
        <v>42373</v>
      </c>
      <c r="AG24" s="262">
        <v>56985</v>
      </c>
      <c r="AH24" s="262">
        <v>41174</v>
      </c>
      <c r="AI24" s="262">
        <v>60054</v>
      </c>
      <c r="AJ24" s="262">
        <v>47596</v>
      </c>
      <c r="AK24" s="262">
        <v>81815</v>
      </c>
      <c r="AL24" s="262">
        <v>58786</v>
      </c>
      <c r="AM24" s="262">
        <v>176505</v>
      </c>
      <c r="AN24" s="262">
        <v>93641</v>
      </c>
      <c r="AO24" s="262">
        <v>128588</v>
      </c>
      <c r="AP24" s="262">
        <v>125474</v>
      </c>
      <c r="AQ24" s="262">
        <v>158642</v>
      </c>
      <c r="AR24" s="262">
        <v>249998</v>
      </c>
      <c r="AS24" s="262">
        <v>332471</v>
      </c>
      <c r="AT24" s="262">
        <v>194666</v>
      </c>
      <c r="AU24" s="262">
        <v>395781</v>
      </c>
      <c r="AV24" s="262">
        <v>382438</v>
      </c>
      <c r="AW24" s="262">
        <v>384679</v>
      </c>
      <c r="AX24" s="262">
        <v>217536</v>
      </c>
      <c r="AY24" s="262">
        <v>281174</v>
      </c>
      <c r="AZ24" s="262">
        <v>275693</v>
      </c>
      <c r="BA24" s="262">
        <v>338514</v>
      </c>
      <c r="BB24" s="262">
        <v>0</v>
      </c>
      <c r="BC24" s="262">
        <v>0</v>
      </c>
      <c r="BD24" s="262">
        <v>729200</v>
      </c>
      <c r="BE24" s="262">
        <v>662465</v>
      </c>
      <c r="BF24" s="262">
        <v>651651</v>
      </c>
    </row>
    <row r="25" spans="1:58" x14ac:dyDescent="0.3">
      <c r="A25" s="260" t="s">
        <v>805</v>
      </c>
      <c r="B25" s="261" t="s">
        <v>792</v>
      </c>
      <c r="C25" s="261" t="s">
        <v>792</v>
      </c>
      <c r="D25" s="261" t="s">
        <v>792</v>
      </c>
      <c r="E25" s="261" t="s">
        <v>792</v>
      </c>
      <c r="F25" s="262">
        <v>0</v>
      </c>
      <c r="G25" s="262">
        <v>0</v>
      </c>
      <c r="H25" s="262">
        <v>0</v>
      </c>
      <c r="I25" s="262">
        <v>0</v>
      </c>
      <c r="J25" s="262">
        <v>0</v>
      </c>
      <c r="K25" s="262">
        <v>0</v>
      </c>
      <c r="L25" s="262">
        <v>0</v>
      </c>
      <c r="M25" s="262">
        <v>0</v>
      </c>
      <c r="N25" s="262">
        <v>0</v>
      </c>
      <c r="O25" s="262">
        <v>0</v>
      </c>
      <c r="P25" s="262">
        <v>0</v>
      </c>
      <c r="Q25" s="262">
        <v>0</v>
      </c>
      <c r="R25" s="262">
        <v>0</v>
      </c>
      <c r="S25" s="262">
        <v>0</v>
      </c>
      <c r="T25" s="262">
        <v>0</v>
      </c>
      <c r="U25" s="262">
        <v>0</v>
      </c>
      <c r="V25" s="262">
        <v>0</v>
      </c>
      <c r="W25" s="262">
        <v>0</v>
      </c>
      <c r="X25" s="262">
        <v>0</v>
      </c>
      <c r="Y25" s="262">
        <v>0</v>
      </c>
      <c r="Z25" s="262">
        <v>0</v>
      </c>
      <c r="AA25" s="262">
        <v>0</v>
      </c>
      <c r="AB25" s="262">
        <v>0</v>
      </c>
      <c r="AC25" s="262">
        <v>0</v>
      </c>
      <c r="AD25" s="262">
        <v>0</v>
      </c>
      <c r="AE25" s="262">
        <v>0</v>
      </c>
      <c r="AF25" s="262">
        <v>0</v>
      </c>
      <c r="AG25" s="262">
        <v>0</v>
      </c>
      <c r="AH25" s="262">
        <v>0</v>
      </c>
      <c r="AI25" s="262">
        <v>0</v>
      </c>
      <c r="AJ25" s="262">
        <v>0</v>
      </c>
      <c r="AK25" s="262">
        <v>0</v>
      </c>
      <c r="AL25" s="262">
        <v>0</v>
      </c>
      <c r="AM25" s="262">
        <v>0</v>
      </c>
      <c r="AN25" s="262">
        <v>0</v>
      </c>
      <c r="AO25" s="262">
        <v>0</v>
      </c>
      <c r="AP25" s="262">
        <v>0</v>
      </c>
      <c r="AQ25" s="262">
        <v>0</v>
      </c>
      <c r="AR25" s="262">
        <v>0</v>
      </c>
      <c r="AS25" s="262">
        <v>0</v>
      </c>
      <c r="AT25" s="262">
        <v>0</v>
      </c>
      <c r="AU25" s="262">
        <v>0</v>
      </c>
      <c r="AV25" s="262">
        <v>0</v>
      </c>
      <c r="AW25" s="262">
        <v>0</v>
      </c>
      <c r="AX25" s="262">
        <v>0</v>
      </c>
      <c r="AY25" s="262">
        <v>0</v>
      </c>
      <c r="AZ25" s="262">
        <v>0</v>
      </c>
      <c r="BA25" s="262">
        <v>0</v>
      </c>
      <c r="BB25" s="262">
        <v>453425</v>
      </c>
      <c r="BC25" s="262">
        <v>599614</v>
      </c>
      <c r="BD25" s="262">
        <v>0</v>
      </c>
      <c r="BE25" s="262">
        <v>0</v>
      </c>
      <c r="BF25" s="262">
        <v>0</v>
      </c>
    </row>
    <row r="26" spans="1:58" x14ac:dyDescent="0.3">
      <c r="A26" s="260" t="s">
        <v>806</v>
      </c>
      <c r="B26" s="261" t="s">
        <v>792</v>
      </c>
      <c r="C26" s="261" t="s">
        <v>792</v>
      </c>
      <c r="D26" s="261" t="s">
        <v>792</v>
      </c>
      <c r="E26" s="261" t="s">
        <v>792</v>
      </c>
      <c r="F26" s="262">
        <v>7507</v>
      </c>
      <c r="G26" s="262">
        <v>12609</v>
      </c>
      <c r="H26" s="262">
        <v>17605</v>
      </c>
      <c r="I26" s="262">
        <v>21319</v>
      </c>
      <c r="J26" s="262">
        <v>34706</v>
      </c>
      <c r="K26" s="262">
        <v>45031</v>
      </c>
      <c r="L26" s="262">
        <v>47888</v>
      </c>
      <c r="M26" s="262">
        <v>41915</v>
      </c>
      <c r="N26" s="262">
        <v>57706</v>
      </c>
      <c r="O26" s="262">
        <v>58786</v>
      </c>
      <c r="P26" s="262">
        <v>60481</v>
      </c>
      <c r="Q26" s="262">
        <v>48359</v>
      </c>
      <c r="R26" s="262">
        <v>42523</v>
      </c>
      <c r="S26" s="262">
        <v>40949</v>
      </c>
      <c r="T26" s="262">
        <v>53761</v>
      </c>
      <c r="U26" s="262">
        <v>47029</v>
      </c>
      <c r="V26" s="262">
        <v>39341</v>
      </c>
      <c r="W26" s="262">
        <v>39225</v>
      </c>
      <c r="X26" s="262">
        <v>36330</v>
      </c>
      <c r="Y26" s="262">
        <v>25940</v>
      </c>
      <c r="Z26" s="262">
        <v>26801</v>
      </c>
      <c r="AA26" s="262">
        <v>29363</v>
      </c>
      <c r="AB26" s="262">
        <v>27916</v>
      </c>
      <c r="AC26" s="262">
        <v>24373</v>
      </c>
      <c r="AD26" s="262">
        <v>69331</v>
      </c>
      <c r="AE26" s="262">
        <v>65811</v>
      </c>
      <c r="AF26" s="262">
        <v>54959</v>
      </c>
      <c r="AG26" s="262">
        <v>53430</v>
      </c>
      <c r="AH26" s="262">
        <v>59492</v>
      </c>
      <c r="AI26" s="262">
        <v>54721</v>
      </c>
      <c r="AJ26" s="262">
        <v>63079</v>
      </c>
      <c r="AK26" s="262">
        <v>76443</v>
      </c>
      <c r="AL26" s="262">
        <v>67011</v>
      </c>
      <c r="AM26" s="262">
        <v>122682</v>
      </c>
      <c r="AN26" s="262">
        <v>90764</v>
      </c>
      <c r="AO26" s="262">
        <v>74888</v>
      </c>
      <c r="AP26" s="262">
        <v>116773</v>
      </c>
      <c r="AQ26" s="262">
        <v>136036</v>
      </c>
      <c r="AR26" s="262">
        <v>140727</v>
      </c>
      <c r="AS26" s="262">
        <v>142240</v>
      </c>
      <c r="AT26" s="262">
        <v>124321</v>
      </c>
      <c r="AU26" s="262">
        <v>105144</v>
      </c>
      <c r="AV26" s="262">
        <v>84757</v>
      </c>
      <c r="AW26" s="262">
        <v>76977</v>
      </c>
      <c r="AX26" s="262">
        <v>85839</v>
      </c>
      <c r="AY26" s="262">
        <v>56077</v>
      </c>
      <c r="AZ26" s="262">
        <v>44358</v>
      </c>
      <c r="BA26" s="262">
        <v>47006</v>
      </c>
      <c r="BB26" s="262">
        <v>76012</v>
      </c>
      <c r="BC26" s="262">
        <v>92436</v>
      </c>
      <c r="BD26" s="262">
        <v>199217</v>
      </c>
      <c r="BE26" s="262">
        <v>262462</v>
      </c>
      <c r="BF26" s="262">
        <v>347658</v>
      </c>
    </row>
    <row r="27" spans="1:58" x14ac:dyDescent="0.3">
      <c r="A27" s="263" t="s">
        <v>807</v>
      </c>
      <c r="B27" s="264" t="s">
        <v>792</v>
      </c>
      <c r="C27" s="264" t="s">
        <v>792</v>
      </c>
      <c r="D27" s="264" t="s">
        <v>792</v>
      </c>
      <c r="E27" s="264" t="s">
        <v>792</v>
      </c>
      <c r="F27" s="259">
        <v>7507</v>
      </c>
      <c r="G27" s="264" t="s">
        <v>792</v>
      </c>
      <c r="H27" s="264" t="s">
        <v>792</v>
      </c>
      <c r="I27" s="264" t="s">
        <v>792</v>
      </c>
      <c r="J27" s="264" t="s">
        <v>792</v>
      </c>
      <c r="K27" s="264" t="s">
        <v>792</v>
      </c>
      <c r="L27" s="264" t="s">
        <v>792</v>
      </c>
      <c r="M27" s="264" t="s">
        <v>792</v>
      </c>
      <c r="N27" s="264" t="s">
        <v>792</v>
      </c>
      <c r="O27" s="264" t="s">
        <v>792</v>
      </c>
      <c r="P27" s="264" t="s">
        <v>792</v>
      </c>
      <c r="Q27" s="264" t="s">
        <v>792</v>
      </c>
      <c r="R27" s="259">
        <v>42523</v>
      </c>
      <c r="S27" s="259">
        <v>40949</v>
      </c>
      <c r="T27" s="259">
        <v>53761</v>
      </c>
      <c r="U27" s="259">
        <v>47029</v>
      </c>
      <c r="V27" s="259">
        <v>39341</v>
      </c>
      <c r="W27" s="259">
        <v>39225</v>
      </c>
      <c r="X27" s="259">
        <v>36330</v>
      </c>
      <c r="Y27" s="259">
        <v>25940</v>
      </c>
      <c r="Z27" s="259">
        <v>26801</v>
      </c>
      <c r="AA27" s="259">
        <v>29363</v>
      </c>
      <c r="AB27" s="259">
        <v>27916</v>
      </c>
      <c r="AC27" s="259">
        <v>24373</v>
      </c>
      <c r="AD27" s="259">
        <v>69331</v>
      </c>
      <c r="AE27" s="259">
        <v>65811</v>
      </c>
      <c r="AF27" s="264" t="s">
        <v>792</v>
      </c>
      <c r="AG27" s="259">
        <v>53430</v>
      </c>
      <c r="AH27" s="259">
        <v>59492</v>
      </c>
      <c r="AI27" s="259">
        <v>54721</v>
      </c>
      <c r="AJ27" s="259">
        <v>63079</v>
      </c>
      <c r="AK27" s="259">
        <v>76443</v>
      </c>
      <c r="AL27" s="259">
        <v>67011</v>
      </c>
      <c r="AM27" s="259">
        <v>122682</v>
      </c>
      <c r="AN27" s="259">
        <v>90764</v>
      </c>
      <c r="AO27" s="259">
        <v>74888</v>
      </c>
      <c r="AP27" s="259">
        <v>116773</v>
      </c>
      <c r="AQ27" s="259">
        <v>136036</v>
      </c>
      <c r="AR27" s="259">
        <v>140727</v>
      </c>
      <c r="AS27" s="259">
        <v>142240</v>
      </c>
      <c r="AT27" s="259">
        <v>124321</v>
      </c>
      <c r="AU27" s="259">
        <v>105144</v>
      </c>
      <c r="AV27" s="259">
        <v>84757</v>
      </c>
      <c r="AW27" s="259">
        <v>76977</v>
      </c>
      <c r="AX27" s="259">
        <v>85839</v>
      </c>
      <c r="AY27" s="259">
        <v>56077</v>
      </c>
      <c r="AZ27" s="259">
        <v>44358</v>
      </c>
      <c r="BA27" s="259">
        <v>47006</v>
      </c>
      <c r="BB27" s="259">
        <v>76012</v>
      </c>
      <c r="BC27" s="259">
        <v>92436</v>
      </c>
      <c r="BD27" s="259">
        <v>199217</v>
      </c>
      <c r="BE27" s="259">
        <v>262462</v>
      </c>
      <c r="BF27" s="259">
        <v>347658</v>
      </c>
    </row>
    <row r="28" spans="1:58" x14ac:dyDescent="0.3">
      <c r="A28" s="260" t="s">
        <v>808</v>
      </c>
      <c r="B28" s="261" t="s">
        <v>792</v>
      </c>
      <c r="C28" s="261" t="s">
        <v>792</v>
      </c>
      <c r="D28" s="261" t="s">
        <v>792</v>
      </c>
      <c r="E28" s="261" t="s">
        <v>792</v>
      </c>
      <c r="F28" s="262">
        <v>2137</v>
      </c>
      <c r="G28" s="262">
        <v>19622</v>
      </c>
      <c r="H28" s="262">
        <v>15976</v>
      </c>
      <c r="I28" s="262">
        <v>10800</v>
      </c>
      <c r="J28" s="262">
        <v>8392</v>
      </c>
      <c r="K28" s="262">
        <v>8296</v>
      </c>
      <c r="L28" s="262">
        <v>7455</v>
      </c>
      <c r="M28" s="262">
        <v>5781</v>
      </c>
      <c r="N28" s="262">
        <v>2011</v>
      </c>
      <c r="O28" s="262">
        <v>4285</v>
      </c>
      <c r="P28" s="262">
        <v>5589</v>
      </c>
      <c r="Q28" s="262">
        <v>3759</v>
      </c>
      <c r="R28" s="262">
        <v>3057</v>
      </c>
      <c r="S28" s="262">
        <v>9300</v>
      </c>
      <c r="T28" s="262">
        <v>8776</v>
      </c>
      <c r="U28" s="262">
        <v>6144</v>
      </c>
      <c r="V28" s="262">
        <v>3486</v>
      </c>
      <c r="W28" s="262">
        <v>7642</v>
      </c>
      <c r="X28" s="262">
        <v>5599</v>
      </c>
      <c r="Y28" s="262">
        <v>3393</v>
      </c>
      <c r="Z28" s="262">
        <v>722</v>
      </c>
      <c r="AA28" s="262">
        <v>6559</v>
      </c>
      <c r="AB28" s="262">
        <v>5750</v>
      </c>
      <c r="AC28" s="262">
        <v>4304</v>
      </c>
      <c r="AD28" s="262">
        <v>2696</v>
      </c>
      <c r="AE28" s="262">
        <v>3267</v>
      </c>
      <c r="AF28" s="262">
        <v>1484</v>
      </c>
      <c r="AG28" s="262">
        <v>4454</v>
      </c>
      <c r="AH28" s="262">
        <v>3106</v>
      </c>
      <c r="AI28" s="262">
        <v>4201</v>
      </c>
      <c r="AJ28" s="262">
        <v>2598</v>
      </c>
      <c r="AK28" s="262">
        <v>2534</v>
      </c>
      <c r="AL28" s="262">
        <v>1659</v>
      </c>
      <c r="AM28" s="262">
        <v>5874</v>
      </c>
      <c r="AN28" s="262">
        <v>12097</v>
      </c>
      <c r="AO28" s="262">
        <v>9335</v>
      </c>
      <c r="AP28" s="262">
        <v>10333</v>
      </c>
      <c r="AQ28" s="262">
        <v>8062</v>
      </c>
      <c r="AR28" s="262">
        <v>11013</v>
      </c>
      <c r="AS28" s="262">
        <v>28759</v>
      </c>
      <c r="AT28" s="262">
        <v>25594</v>
      </c>
      <c r="AU28" s="262">
        <v>23233</v>
      </c>
      <c r="AV28" s="262">
        <v>15940</v>
      </c>
      <c r="AW28" s="262">
        <v>9352</v>
      </c>
      <c r="AX28" s="262">
        <v>9760</v>
      </c>
      <c r="AY28" s="262">
        <v>31995</v>
      </c>
      <c r="AZ28" s="262">
        <v>26054</v>
      </c>
      <c r="BA28" s="262">
        <v>18803</v>
      </c>
      <c r="BB28" s="262">
        <v>10809</v>
      </c>
      <c r="BC28" s="262">
        <v>5342</v>
      </c>
      <c r="BD28" s="262">
        <v>13944</v>
      </c>
      <c r="BE28" s="262">
        <v>31060</v>
      </c>
      <c r="BF28" s="262">
        <v>22129</v>
      </c>
    </row>
    <row r="29" spans="1:58" x14ac:dyDescent="0.3">
      <c r="A29" s="260" t="s">
        <v>809</v>
      </c>
      <c r="B29" s="261" t="s">
        <v>792</v>
      </c>
      <c r="C29" s="261" t="s">
        <v>792</v>
      </c>
      <c r="D29" s="261" t="s">
        <v>792</v>
      </c>
      <c r="E29" s="261" t="s">
        <v>792</v>
      </c>
      <c r="F29" s="262">
        <v>7982</v>
      </c>
      <c r="G29" s="262">
        <v>17413</v>
      </c>
      <c r="H29" s="262">
        <v>45911</v>
      </c>
      <c r="I29" s="262">
        <v>15677</v>
      </c>
      <c r="J29" s="262">
        <v>1317926</v>
      </c>
      <c r="K29" s="262">
        <v>26222</v>
      </c>
      <c r="L29" s="262">
        <v>22434</v>
      </c>
      <c r="M29" s="262">
        <v>17940</v>
      </c>
      <c r="N29" s="262">
        <v>11578</v>
      </c>
      <c r="O29" s="262">
        <v>192278</v>
      </c>
      <c r="P29" s="262">
        <v>216031</v>
      </c>
      <c r="Q29" s="262">
        <v>263813</v>
      </c>
      <c r="R29" s="262">
        <v>199141</v>
      </c>
      <c r="S29" s="262">
        <v>201939</v>
      </c>
      <c r="T29" s="262">
        <v>208163</v>
      </c>
      <c r="U29" s="262">
        <v>218710</v>
      </c>
      <c r="V29" s="262">
        <v>303844</v>
      </c>
      <c r="W29" s="262">
        <v>320675</v>
      </c>
      <c r="X29" s="262">
        <v>284754</v>
      </c>
      <c r="Y29" s="262">
        <v>190285</v>
      </c>
      <c r="Z29" s="262">
        <v>105480</v>
      </c>
      <c r="AA29" s="262">
        <v>102600</v>
      </c>
      <c r="AB29" s="262">
        <v>83771</v>
      </c>
      <c r="AC29" s="262">
        <v>83424</v>
      </c>
      <c r="AD29" s="262">
        <v>74381</v>
      </c>
      <c r="AE29" s="262">
        <v>91257</v>
      </c>
      <c r="AF29" s="262">
        <v>76770</v>
      </c>
      <c r="AG29" s="262">
        <v>71697</v>
      </c>
      <c r="AH29" s="262">
        <v>79529</v>
      </c>
      <c r="AI29" s="262">
        <v>62020</v>
      </c>
      <c r="AJ29" s="262">
        <v>62221</v>
      </c>
      <c r="AK29" s="262">
        <v>66556</v>
      </c>
      <c r="AL29" s="262">
        <v>79282</v>
      </c>
      <c r="AM29" s="262">
        <v>82034</v>
      </c>
      <c r="AN29" s="262">
        <v>242645</v>
      </c>
      <c r="AO29" s="262">
        <v>229429</v>
      </c>
      <c r="AP29" s="262">
        <v>200215</v>
      </c>
      <c r="AQ29" s="262">
        <v>798480</v>
      </c>
      <c r="AR29" s="262">
        <v>444129</v>
      </c>
      <c r="AS29" s="262">
        <v>492462</v>
      </c>
      <c r="AT29" s="262">
        <v>278603</v>
      </c>
      <c r="AU29" s="262">
        <v>287710</v>
      </c>
      <c r="AV29" s="262">
        <v>187817</v>
      </c>
      <c r="AW29" s="262">
        <v>174661</v>
      </c>
      <c r="AX29" s="262">
        <v>227261</v>
      </c>
      <c r="AY29" s="262">
        <v>147362</v>
      </c>
      <c r="AZ29" s="262">
        <v>180662</v>
      </c>
      <c r="BA29" s="262">
        <v>347046</v>
      </c>
      <c r="BB29" s="262">
        <v>283116</v>
      </c>
      <c r="BC29" s="262">
        <v>429633</v>
      </c>
      <c r="BD29" s="262">
        <v>208513</v>
      </c>
      <c r="BE29" s="262">
        <v>291519</v>
      </c>
      <c r="BF29" s="262">
        <v>194542</v>
      </c>
    </row>
    <row r="30" spans="1:58" x14ac:dyDescent="0.3">
      <c r="A30" s="263" t="s">
        <v>810</v>
      </c>
      <c r="B30" s="264" t="s">
        <v>792</v>
      </c>
      <c r="C30" s="264" t="s">
        <v>792</v>
      </c>
      <c r="D30" s="264" t="s">
        <v>792</v>
      </c>
      <c r="E30" s="264" t="s">
        <v>792</v>
      </c>
      <c r="F30" s="259">
        <v>0</v>
      </c>
      <c r="G30" s="259">
        <v>0</v>
      </c>
      <c r="H30" s="259">
        <v>0</v>
      </c>
      <c r="I30" s="259">
        <v>0</v>
      </c>
      <c r="J30" s="259">
        <v>1296128</v>
      </c>
      <c r="K30" s="259">
        <v>0</v>
      </c>
      <c r="L30" s="259">
        <v>0</v>
      </c>
      <c r="M30" s="259">
        <v>0</v>
      </c>
      <c r="N30" s="259">
        <v>0</v>
      </c>
      <c r="O30" s="259">
        <v>109268</v>
      </c>
      <c r="P30" s="259">
        <v>129001</v>
      </c>
      <c r="Q30" s="259">
        <v>161001</v>
      </c>
      <c r="R30" s="259">
        <v>155540</v>
      </c>
      <c r="S30" s="259">
        <v>145090</v>
      </c>
      <c r="T30" s="259">
        <v>143771</v>
      </c>
      <c r="U30" s="259">
        <v>152403</v>
      </c>
      <c r="V30" s="259">
        <v>258158</v>
      </c>
      <c r="W30" s="259">
        <v>263530</v>
      </c>
      <c r="X30" s="259">
        <v>247327</v>
      </c>
      <c r="Y30" s="259">
        <v>154870</v>
      </c>
      <c r="Z30" s="259">
        <v>73644</v>
      </c>
      <c r="AA30" s="259">
        <v>66391</v>
      </c>
      <c r="AB30" s="259">
        <v>53588</v>
      </c>
      <c r="AC30" s="259">
        <v>50056</v>
      </c>
      <c r="AD30" s="259">
        <v>50255</v>
      </c>
      <c r="AE30" s="259">
        <v>48857</v>
      </c>
      <c r="AF30" s="259">
        <v>28318</v>
      </c>
      <c r="AG30" s="259">
        <v>27118</v>
      </c>
      <c r="AH30" s="259">
        <v>28316</v>
      </c>
      <c r="AI30" s="259">
        <v>28452</v>
      </c>
      <c r="AJ30" s="259">
        <v>29535</v>
      </c>
      <c r="AK30" s="259">
        <v>27467</v>
      </c>
      <c r="AL30" s="259">
        <v>26581</v>
      </c>
      <c r="AM30" s="259">
        <v>26731</v>
      </c>
      <c r="AN30" s="259">
        <v>0</v>
      </c>
      <c r="AO30" s="259">
        <v>28568</v>
      </c>
      <c r="AP30" s="259">
        <v>0</v>
      </c>
      <c r="AQ30" s="259">
        <v>0</v>
      </c>
      <c r="AR30" s="259">
        <v>0</v>
      </c>
      <c r="AS30" s="259">
        <v>0</v>
      </c>
      <c r="AT30" s="259">
        <v>68439</v>
      </c>
      <c r="AU30" s="259">
        <v>74533</v>
      </c>
      <c r="AV30" s="259">
        <v>70110</v>
      </c>
      <c r="AW30" s="259">
        <v>72665</v>
      </c>
      <c r="AX30" s="259">
        <v>74508</v>
      </c>
      <c r="AY30" s="259">
        <v>0</v>
      </c>
      <c r="AZ30" s="259">
        <v>0</v>
      </c>
      <c r="BA30" s="259">
        <v>0</v>
      </c>
      <c r="BB30" s="259">
        <v>65314</v>
      </c>
      <c r="BC30" s="259">
        <v>69219</v>
      </c>
      <c r="BD30" s="259">
        <v>67915</v>
      </c>
      <c r="BE30" s="259">
        <v>73084</v>
      </c>
      <c r="BF30" s="259">
        <v>0</v>
      </c>
    </row>
    <row r="31" spans="1:58" x14ac:dyDescent="0.3">
      <c r="A31" s="263" t="s">
        <v>811</v>
      </c>
      <c r="B31" s="264" t="s">
        <v>792</v>
      </c>
      <c r="C31" s="264" t="s">
        <v>792</v>
      </c>
      <c r="D31" s="264" t="s">
        <v>792</v>
      </c>
      <c r="E31" s="264" t="s">
        <v>792</v>
      </c>
      <c r="F31" s="259">
        <v>0</v>
      </c>
      <c r="G31" s="259">
        <v>0</v>
      </c>
      <c r="H31" s="259">
        <v>0</v>
      </c>
      <c r="I31" s="259">
        <v>0</v>
      </c>
      <c r="J31" s="259">
        <v>0</v>
      </c>
      <c r="K31" s="259">
        <v>0</v>
      </c>
      <c r="L31" s="259">
        <v>0</v>
      </c>
      <c r="M31" s="259">
        <v>0</v>
      </c>
      <c r="N31" s="259">
        <v>0</v>
      </c>
      <c r="O31" s="259">
        <v>0</v>
      </c>
      <c r="P31" s="259">
        <v>0</v>
      </c>
      <c r="Q31" s="259">
        <v>0</v>
      </c>
      <c r="R31" s="259">
        <v>0</v>
      </c>
      <c r="S31" s="259">
        <v>0</v>
      </c>
      <c r="T31" s="259">
        <v>0</v>
      </c>
      <c r="U31" s="259">
        <v>0</v>
      </c>
      <c r="V31" s="259">
        <v>0</v>
      </c>
      <c r="W31" s="259">
        <v>0</v>
      </c>
      <c r="X31" s="259">
        <v>0</v>
      </c>
      <c r="Y31" s="259">
        <v>0</v>
      </c>
      <c r="Z31" s="259">
        <v>0</v>
      </c>
      <c r="AA31" s="259">
        <v>0</v>
      </c>
      <c r="AB31" s="259">
        <v>0</v>
      </c>
      <c r="AC31" s="259">
        <v>0</v>
      </c>
      <c r="AD31" s="259">
        <v>0</v>
      </c>
      <c r="AE31" s="259">
        <v>0</v>
      </c>
      <c r="AF31" s="259">
        <v>0</v>
      </c>
      <c r="AG31" s="259">
        <v>0</v>
      </c>
      <c r="AH31" s="259">
        <v>0</v>
      </c>
      <c r="AI31" s="259">
        <v>0</v>
      </c>
      <c r="AJ31" s="259">
        <v>0</v>
      </c>
      <c r="AK31" s="259">
        <v>0</v>
      </c>
      <c r="AL31" s="259">
        <v>0</v>
      </c>
      <c r="AM31" s="259">
        <v>0</v>
      </c>
      <c r="AN31" s="259">
        <v>0</v>
      </c>
      <c r="AO31" s="259">
        <v>0</v>
      </c>
      <c r="AP31" s="259">
        <v>0</v>
      </c>
      <c r="AQ31" s="259">
        <v>0</v>
      </c>
      <c r="AR31" s="259">
        <v>0</v>
      </c>
      <c r="AS31" s="259">
        <v>0</v>
      </c>
      <c r="AT31" s="259">
        <v>0</v>
      </c>
      <c r="AU31" s="259">
        <v>0</v>
      </c>
      <c r="AV31" s="259">
        <v>0</v>
      </c>
      <c r="AW31" s="259">
        <v>0</v>
      </c>
      <c r="AX31" s="259">
        <v>0</v>
      </c>
      <c r="AY31" s="259">
        <v>0</v>
      </c>
      <c r="AZ31" s="259">
        <v>0</v>
      </c>
      <c r="BA31" s="259">
        <v>0</v>
      </c>
      <c r="BB31" s="259">
        <v>0</v>
      </c>
      <c r="BC31" s="259">
        <v>0</v>
      </c>
      <c r="BD31" s="259">
        <v>0</v>
      </c>
      <c r="BE31" s="259">
        <v>0</v>
      </c>
      <c r="BF31" s="259">
        <v>0</v>
      </c>
    </row>
    <row r="32" spans="1:58" x14ac:dyDescent="0.3">
      <c r="A32" s="263" t="s">
        <v>812</v>
      </c>
      <c r="B32" s="264" t="s">
        <v>792</v>
      </c>
      <c r="C32" s="264" t="s">
        <v>792</v>
      </c>
      <c r="D32" s="264" t="s">
        <v>792</v>
      </c>
      <c r="E32" s="264" t="s">
        <v>792</v>
      </c>
      <c r="F32" s="259">
        <v>7982</v>
      </c>
      <c r="G32" s="259">
        <v>17413</v>
      </c>
      <c r="H32" s="259">
        <v>45911</v>
      </c>
      <c r="I32" s="259">
        <v>15677</v>
      </c>
      <c r="J32" s="259">
        <v>21798</v>
      </c>
      <c r="K32" s="259">
        <v>26222</v>
      </c>
      <c r="L32" s="259">
        <v>22434</v>
      </c>
      <c r="M32" s="259">
        <v>17940</v>
      </c>
      <c r="N32" s="259">
        <v>11578</v>
      </c>
      <c r="O32" s="259">
        <v>83010</v>
      </c>
      <c r="P32" s="259">
        <v>87030</v>
      </c>
      <c r="Q32" s="259">
        <v>102812</v>
      </c>
      <c r="R32" s="259">
        <v>43601</v>
      </c>
      <c r="S32" s="259">
        <v>56849</v>
      </c>
      <c r="T32" s="259">
        <v>64392</v>
      </c>
      <c r="U32" s="259">
        <v>66307</v>
      </c>
      <c r="V32" s="259">
        <v>45686</v>
      </c>
      <c r="W32" s="259">
        <v>57145</v>
      </c>
      <c r="X32" s="259">
        <v>37427</v>
      </c>
      <c r="Y32" s="259">
        <v>35415</v>
      </c>
      <c r="Z32" s="259">
        <v>31836</v>
      </c>
      <c r="AA32" s="259">
        <v>36209</v>
      </c>
      <c r="AB32" s="259">
        <v>30183</v>
      </c>
      <c r="AC32" s="259">
        <v>33368</v>
      </c>
      <c r="AD32" s="259">
        <v>24126</v>
      </c>
      <c r="AE32" s="259">
        <v>42400</v>
      </c>
      <c r="AF32" s="259">
        <v>48452</v>
      </c>
      <c r="AG32" s="259">
        <v>44579</v>
      </c>
      <c r="AH32" s="259">
        <v>51213</v>
      </c>
      <c r="AI32" s="259">
        <v>33568</v>
      </c>
      <c r="AJ32" s="259">
        <v>32686</v>
      </c>
      <c r="AK32" s="259">
        <v>39089</v>
      </c>
      <c r="AL32" s="259">
        <v>52701</v>
      </c>
      <c r="AM32" s="259">
        <v>55303</v>
      </c>
      <c r="AN32" s="259">
        <v>242645</v>
      </c>
      <c r="AO32" s="259">
        <v>200861</v>
      </c>
      <c r="AP32" s="259">
        <v>200215</v>
      </c>
      <c r="AQ32" s="259">
        <v>798480</v>
      </c>
      <c r="AR32" s="259">
        <v>444129</v>
      </c>
      <c r="AS32" s="259">
        <v>492462</v>
      </c>
      <c r="AT32" s="259">
        <v>210164</v>
      </c>
      <c r="AU32" s="259">
        <v>213177</v>
      </c>
      <c r="AV32" s="259">
        <v>117707</v>
      </c>
      <c r="AW32" s="259">
        <v>101996</v>
      </c>
      <c r="AX32" s="259">
        <v>152753</v>
      </c>
      <c r="AY32" s="259">
        <v>147362</v>
      </c>
      <c r="AZ32" s="259">
        <v>180662</v>
      </c>
      <c r="BA32" s="259">
        <v>347046</v>
      </c>
      <c r="BB32" s="259">
        <v>217802</v>
      </c>
      <c r="BC32" s="259">
        <v>360414</v>
      </c>
      <c r="BD32" s="259">
        <v>140598</v>
      </c>
      <c r="BE32" s="259">
        <v>218435</v>
      </c>
      <c r="BF32" s="259">
        <v>194542</v>
      </c>
    </row>
    <row r="33" spans="1:58" x14ac:dyDescent="0.3">
      <c r="A33" s="258" t="s">
        <v>813</v>
      </c>
      <c r="B33" s="259">
        <v>61991</v>
      </c>
      <c r="C33" s="259">
        <v>90884</v>
      </c>
      <c r="D33" s="259">
        <v>155915</v>
      </c>
      <c r="E33" s="259">
        <v>225543</v>
      </c>
      <c r="F33" s="259">
        <v>249508</v>
      </c>
      <c r="G33" s="259">
        <v>391116</v>
      </c>
      <c r="H33" s="259">
        <v>3399780</v>
      </c>
      <c r="I33" s="259">
        <v>2278421</v>
      </c>
      <c r="J33" s="259">
        <v>2536506</v>
      </c>
      <c r="K33" s="259">
        <v>3778176</v>
      </c>
      <c r="L33" s="259">
        <v>2916894</v>
      </c>
      <c r="M33" s="259">
        <v>3004031</v>
      </c>
      <c r="N33" s="259">
        <v>3273538</v>
      </c>
      <c r="O33" s="259">
        <v>3272708</v>
      </c>
      <c r="P33" s="259">
        <v>3531223</v>
      </c>
      <c r="Q33" s="259">
        <v>2696792</v>
      </c>
      <c r="R33" s="259">
        <v>1132029</v>
      </c>
      <c r="S33" s="259">
        <v>1340864</v>
      </c>
      <c r="T33" s="259">
        <v>1274652</v>
      </c>
      <c r="U33" s="259">
        <v>1286526</v>
      </c>
      <c r="V33" s="259">
        <v>254902</v>
      </c>
      <c r="W33" s="259">
        <v>319953</v>
      </c>
      <c r="X33" s="259">
        <v>294062</v>
      </c>
      <c r="Y33" s="259">
        <v>342658</v>
      </c>
      <c r="Z33" s="259">
        <v>277215</v>
      </c>
      <c r="AA33" s="259">
        <v>276451</v>
      </c>
      <c r="AB33" s="259">
        <v>282336</v>
      </c>
      <c r="AC33" s="259">
        <v>302835</v>
      </c>
      <c r="AD33" s="259">
        <v>300789</v>
      </c>
      <c r="AE33" s="259">
        <v>472764</v>
      </c>
      <c r="AF33" s="259">
        <v>467629</v>
      </c>
      <c r="AG33" s="259">
        <v>455903</v>
      </c>
      <c r="AH33" s="259">
        <v>402109</v>
      </c>
      <c r="AI33" s="259">
        <v>421278</v>
      </c>
      <c r="AJ33" s="259">
        <v>474515</v>
      </c>
      <c r="AK33" s="259">
        <v>485459</v>
      </c>
      <c r="AL33" s="259">
        <v>497501</v>
      </c>
      <c r="AM33" s="259">
        <v>3657302</v>
      </c>
      <c r="AN33" s="259">
        <v>3386223</v>
      </c>
      <c r="AO33" s="259">
        <v>3457010</v>
      </c>
      <c r="AP33" s="259">
        <v>3976661</v>
      </c>
      <c r="AQ33" s="259">
        <v>5252119</v>
      </c>
      <c r="AR33" s="259">
        <v>5260513</v>
      </c>
      <c r="AS33" s="259">
        <v>5404998</v>
      </c>
      <c r="AT33" s="259">
        <v>4951418</v>
      </c>
      <c r="AU33" s="259">
        <v>5244461</v>
      </c>
      <c r="AV33" s="259">
        <v>4987285</v>
      </c>
      <c r="AW33" s="259">
        <v>5981504</v>
      </c>
      <c r="AX33" s="259">
        <v>6115121</v>
      </c>
      <c r="AY33" s="259">
        <v>6057511</v>
      </c>
      <c r="AZ33" s="259">
        <v>8317151</v>
      </c>
      <c r="BA33" s="259">
        <v>8797869</v>
      </c>
      <c r="BB33" s="259">
        <v>9699893</v>
      </c>
      <c r="BC33" s="259">
        <v>21738792</v>
      </c>
      <c r="BD33" s="259">
        <v>22327929</v>
      </c>
      <c r="BE33" s="259">
        <v>23435149</v>
      </c>
      <c r="BF33" s="259">
        <v>23016058</v>
      </c>
    </row>
    <row r="34" spans="1:58" x14ac:dyDescent="0.3">
      <c r="A34" s="260" t="s">
        <v>814</v>
      </c>
      <c r="B34" s="262">
        <v>4556</v>
      </c>
      <c r="C34" s="262">
        <v>27122</v>
      </c>
      <c r="D34" s="262">
        <v>35678</v>
      </c>
      <c r="E34" s="262">
        <v>36574</v>
      </c>
      <c r="F34" s="262">
        <v>37494</v>
      </c>
      <c r="G34" s="262">
        <v>38466</v>
      </c>
      <c r="H34" s="262">
        <v>1328191</v>
      </c>
      <c r="I34" s="262">
        <v>436</v>
      </c>
      <c r="J34" s="262">
        <v>22396</v>
      </c>
      <c r="K34" s="262">
        <v>1115284</v>
      </c>
      <c r="L34" s="262">
        <v>83039</v>
      </c>
      <c r="M34" s="262">
        <v>83314</v>
      </c>
      <c r="N34" s="262">
        <v>156265</v>
      </c>
      <c r="O34" s="262">
        <v>151983</v>
      </c>
      <c r="P34" s="262">
        <v>457803</v>
      </c>
      <c r="Q34" s="262">
        <v>461313</v>
      </c>
      <c r="R34" s="262">
        <v>4590</v>
      </c>
      <c r="S34" s="262">
        <v>4724</v>
      </c>
      <c r="T34" s="262">
        <v>4813</v>
      </c>
      <c r="U34" s="262">
        <v>4978</v>
      </c>
      <c r="V34" s="262">
        <v>5026</v>
      </c>
      <c r="W34" s="262">
        <v>5096</v>
      </c>
      <c r="X34" s="262">
        <v>23430</v>
      </c>
      <c r="Y34" s="262">
        <v>33110</v>
      </c>
      <c r="Z34" s="262">
        <v>45500</v>
      </c>
      <c r="AA34" s="262">
        <v>45828</v>
      </c>
      <c r="AB34" s="262">
        <v>45687</v>
      </c>
      <c r="AC34" s="262">
        <v>54093</v>
      </c>
      <c r="AD34" s="262">
        <v>73972</v>
      </c>
      <c r="AE34" s="262">
        <v>90007</v>
      </c>
      <c r="AF34" s="262">
        <v>99829</v>
      </c>
      <c r="AG34" s="262">
        <v>110492</v>
      </c>
      <c r="AH34" s="262">
        <v>80275</v>
      </c>
      <c r="AI34" s="262">
        <v>101931</v>
      </c>
      <c r="AJ34" s="262">
        <v>104297</v>
      </c>
      <c r="AK34" s="262">
        <v>78617</v>
      </c>
      <c r="AL34" s="262">
        <v>66266</v>
      </c>
      <c r="AM34" s="262">
        <v>71989</v>
      </c>
      <c r="AN34" s="262">
        <v>107425</v>
      </c>
      <c r="AO34" s="262">
        <v>73002</v>
      </c>
      <c r="AP34" s="262">
        <v>232542</v>
      </c>
      <c r="AQ34" s="262">
        <v>236555</v>
      </c>
      <c r="AR34" s="262">
        <v>264472</v>
      </c>
      <c r="AS34" s="262">
        <v>230786</v>
      </c>
      <c r="AT34" s="262">
        <v>265703</v>
      </c>
      <c r="AU34" s="262">
        <v>319040</v>
      </c>
      <c r="AV34" s="262">
        <v>215592</v>
      </c>
      <c r="AW34" s="262">
        <v>238970</v>
      </c>
      <c r="AX34" s="262">
        <v>397883</v>
      </c>
      <c r="AY34" s="262">
        <v>700783</v>
      </c>
      <c r="AZ34" s="262">
        <v>721759</v>
      </c>
      <c r="BA34" s="262">
        <v>521786</v>
      </c>
      <c r="BB34" s="262">
        <v>729759</v>
      </c>
      <c r="BC34" s="262">
        <v>682821</v>
      </c>
      <c r="BD34" s="262">
        <v>891997</v>
      </c>
      <c r="BE34" s="262">
        <v>558122</v>
      </c>
      <c r="BF34" s="262">
        <v>631701</v>
      </c>
    </row>
    <row r="35" spans="1:58" x14ac:dyDescent="0.3">
      <c r="A35" s="263" t="s">
        <v>815</v>
      </c>
      <c r="B35" s="264" t="s">
        <v>792</v>
      </c>
      <c r="C35" s="264" t="s">
        <v>792</v>
      </c>
      <c r="D35" s="264" t="s">
        <v>792</v>
      </c>
      <c r="E35" s="264" t="s">
        <v>792</v>
      </c>
      <c r="F35" s="259">
        <v>0</v>
      </c>
      <c r="G35" s="259">
        <v>0</v>
      </c>
      <c r="H35" s="259">
        <v>0</v>
      </c>
      <c r="I35" s="259">
        <v>0</v>
      </c>
      <c r="J35" s="259">
        <v>0</v>
      </c>
      <c r="K35" s="259">
        <v>0</v>
      </c>
      <c r="L35" s="259">
        <v>0</v>
      </c>
      <c r="M35" s="259">
        <v>0</v>
      </c>
      <c r="N35" s="259">
        <v>0</v>
      </c>
      <c r="O35" s="259">
        <v>141443</v>
      </c>
      <c r="P35" s="259">
        <v>449185</v>
      </c>
      <c r="Q35" s="259">
        <v>450789</v>
      </c>
      <c r="R35" s="259">
        <v>0</v>
      </c>
      <c r="S35" s="259">
        <v>0</v>
      </c>
      <c r="T35" s="259">
        <v>0</v>
      </c>
      <c r="U35" s="259">
        <v>0</v>
      </c>
      <c r="V35" s="259">
        <v>0</v>
      </c>
      <c r="W35" s="259">
        <v>0</v>
      </c>
      <c r="X35" s="259">
        <v>0</v>
      </c>
      <c r="Y35" s="259">
        <v>0</v>
      </c>
      <c r="Z35" s="259">
        <v>0</v>
      </c>
      <c r="AA35" s="259">
        <v>0</v>
      </c>
      <c r="AB35" s="259">
        <v>0</v>
      </c>
      <c r="AC35" s="259">
        <v>0</v>
      </c>
      <c r="AD35" s="259">
        <v>0</v>
      </c>
      <c r="AE35" s="259">
        <v>0</v>
      </c>
      <c r="AF35" s="259">
        <v>0</v>
      </c>
      <c r="AG35" s="259">
        <v>0</v>
      </c>
      <c r="AH35" s="259">
        <v>0</v>
      </c>
      <c r="AI35" s="259">
        <v>0</v>
      </c>
      <c r="AJ35" s="259">
        <v>0</v>
      </c>
      <c r="AK35" s="259">
        <v>0</v>
      </c>
      <c r="AL35" s="259">
        <v>0</v>
      </c>
      <c r="AM35" s="259">
        <v>0</v>
      </c>
      <c r="AN35" s="259">
        <v>0</v>
      </c>
      <c r="AO35" s="259">
        <v>0</v>
      </c>
      <c r="AP35" s="259">
        <v>0</v>
      </c>
      <c r="AQ35" s="259">
        <v>0</v>
      </c>
      <c r="AR35" s="259">
        <v>0</v>
      </c>
      <c r="AS35" s="259">
        <v>0</v>
      </c>
      <c r="AT35" s="259">
        <v>0</v>
      </c>
      <c r="AU35" s="259">
        <v>0</v>
      </c>
      <c r="AV35" s="259">
        <v>0</v>
      </c>
      <c r="AW35" s="259">
        <v>0</v>
      </c>
      <c r="AX35" s="259">
        <v>0</v>
      </c>
      <c r="AY35" s="259">
        <v>0</v>
      </c>
      <c r="AZ35" s="259">
        <v>0</v>
      </c>
      <c r="BA35" s="259">
        <v>0</v>
      </c>
      <c r="BB35" s="259">
        <v>0</v>
      </c>
      <c r="BC35" s="259">
        <v>0</v>
      </c>
      <c r="BD35" s="259">
        <v>0</v>
      </c>
      <c r="BE35" s="259">
        <v>0</v>
      </c>
      <c r="BF35" s="259">
        <v>0</v>
      </c>
    </row>
    <row r="36" spans="1:58" x14ac:dyDescent="0.3">
      <c r="A36" s="265" t="s">
        <v>816</v>
      </c>
      <c r="B36" s="256" t="s">
        <v>792</v>
      </c>
      <c r="C36" s="256" t="s">
        <v>792</v>
      </c>
      <c r="D36" s="256" t="s">
        <v>792</v>
      </c>
      <c r="E36" s="256" t="s">
        <v>792</v>
      </c>
      <c r="F36" s="256" t="s">
        <v>792</v>
      </c>
      <c r="G36" s="256" t="s">
        <v>792</v>
      </c>
      <c r="H36" s="256" t="s">
        <v>792</v>
      </c>
      <c r="I36" s="256" t="s">
        <v>792</v>
      </c>
      <c r="J36" s="256" t="s">
        <v>792</v>
      </c>
      <c r="K36" s="256" t="s">
        <v>792</v>
      </c>
      <c r="L36" s="256" t="s">
        <v>792</v>
      </c>
      <c r="M36" s="256" t="s">
        <v>792</v>
      </c>
      <c r="N36" s="256" t="s">
        <v>792</v>
      </c>
      <c r="O36" s="256" t="s">
        <v>792</v>
      </c>
      <c r="P36" s="256" t="s">
        <v>792</v>
      </c>
      <c r="Q36" s="256" t="s">
        <v>792</v>
      </c>
      <c r="R36" s="256" t="s">
        <v>792</v>
      </c>
      <c r="S36" s="256" t="s">
        <v>792</v>
      </c>
      <c r="T36" s="256" t="s">
        <v>792</v>
      </c>
      <c r="U36" s="256" t="s">
        <v>792</v>
      </c>
      <c r="V36" s="256" t="s">
        <v>792</v>
      </c>
      <c r="W36" s="256" t="s">
        <v>792</v>
      </c>
      <c r="X36" s="256" t="s">
        <v>792</v>
      </c>
      <c r="Y36" s="256" t="s">
        <v>792</v>
      </c>
      <c r="Z36" s="256" t="s">
        <v>792</v>
      </c>
      <c r="AA36" s="256" t="s">
        <v>792</v>
      </c>
      <c r="AB36" s="256" t="s">
        <v>792</v>
      </c>
      <c r="AC36" s="256" t="s">
        <v>792</v>
      </c>
      <c r="AD36" s="256" t="s">
        <v>792</v>
      </c>
      <c r="AE36" s="256" t="s">
        <v>792</v>
      </c>
      <c r="AF36" s="256" t="s">
        <v>792</v>
      </c>
      <c r="AG36" s="256" t="s">
        <v>792</v>
      </c>
      <c r="AH36" s="257">
        <v>0</v>
      </c>
      <c r="AI36" s="256" t="s">
        <v>792</v>
      </c>
      <c r="AJ36" s="257">
        <v>0</v>
      </c>
      <c r="AK36" s="257">
        <v>0</v>
      </c>
      <c r="AL36" s="257">
        <v>0</v>
      </c>
      <c r="AM36" s="257">
        <v>0</v>
      </c>
      <c r="AN36" s="257">
        <v>0</v>
      </c>
      <c r="AO36" s="257">
        <v>0</v>
      </c>
      <c r="AP36" s="257">
        <v>0</v>
      </c>
      <c r="AQ36" s="257">
        <v>0</v>
      </c>
      <c r="AR36" s="257">
        <v>0</v>
      </c>
      <c r="AS36" s="257">
        <v>0</v>
      </c>
      <c r="AT36" s="257">
        <v>0</v>
      </c>
      <c r="AU36" s="257">
        <v>0</v>
      </c>
      <c r="AV36" s="257">
        <v>0</v>
      </c>
      <c r="AW36" s="257">
        <v>0</v>
      </c>
      <c r="AX36" s="257">
        <v>0</v>
      </c>
      <c r="AY36" s="257">
        <v>0</v>
      </c>
      <c r="AZ36" s="257">
        <v>0</v>
      </c>
      <c r="BA36" s="257">
        <v>0</v>
      </c>
      <c r="BB36" s="257">
        <v>0</v>
      </c>
      <c r="BC36" s="257">
        <v>0</v>
      </c>
      <c r="BD36" s="257">
        <v>0</v>
      </c>
      <c r="BE36" s="257">
        <v>0</v>
      </c>
      <c r="BF36" s="257">
        <v>0</v>
      </c>
    </row>
    <row r="37" spans="1:58" x14ac:dyDescent="0.3">
      <c r="A37" s="266" t="s">
        <v>817</v>
      </c>
      <c r="B37" s="264" t="s">
        <v>792</v>
      </c>
      <c r="C37" s="264" t="s">
        <v>792</v>
      </c>
      <c r="D37" s="264" t="s">
        <v>792</v>
      </c>
      <c r="E37" s="264" t="s">
        <v>792</v>
      </c>
      <c r="F37" s="264" t="s">
        <v>792</v>
      </c>
      <c r="G37" s="264" t="s">
        <v>792</v>
      </c>
      <c r="H37" s="264" t="s">
        <v>792</v>
      </c>
      <c r="I37" s="264" t="s">
        <v>792</v>
      </c>
      <c r="J37" s="264" t="s">
        <v>792</v>
      </c>
      <c r="K37" s="264" t="s">
        <v>792</v>
      </c>
      <c r="L37" s="264" t="s">
        <v>792</v>
      </c>
      <c r="M37" s="264" t="s">
        <v>792</v>
      </c>
      <c r="N37" s="264" t="s">
        <v>792</v>
      </c>
      <c r="O37" s="264" t="s">
        <v>792</v>
      </c>
      <c r="P37" s="264" t="s">
        <v>792</v>
      </c>
      <c r="Q37" s="264" t="s">
        <v>792</v>
      </c>
      <c r="R37" s="264" t="s">
        <v>792</v>
      </c>
      <c r="S37" s="264" t="s">
        <v>792</v>
      </c>
      <c r="T37" s="264" t="s">
        <v>792</v>
      </c>
      <c r="U37" s="264" t="s">
        <v>792</v>
      </c>
      <c r="V37" s="264" t="s">
        <v>792</v>
      </c>
      <c r="W37" s="264" t="s">
        <v>792</v>
      </c>
      <c r="X37" s="264" t="s">
        <v>792</v>
      </c>
      <c r="Y37" s="264" t="s">
        <v>792</v>
      </c>
      <c r="Z37" s="264" t="s">
        <v>792</v>
      </c>
      <c r="AA37" s="264" t="s">
        <v>792</v>
      </c>
      <c r="AB37" s="264" t="s">
        <v>792</v>
      </c>
      <c r="AC37" s="264" t="s">
        <v>792</v>
      </c>
      <c r="AD37" s="264" t="s">
        <v>792</v>
      </c>
      <c r="AE37" s="264" t="s">
        <v>792</v>
      </c>
      <c r="AF37" s="264" t="s">
        <v>792</v>
      </c>
      <c r="AG37" s="264" t="s">
        <v>792</v>
      </c>
      <c r="AH37" s="259">
        <v>0</v>
      </c>
      <c r="AI37" s="264" t="s">
        <v>792</v>
      </c>
      <c r="AJ37" s="259">
        <v>0</v>
      </c>
      <c r="AK37" s="259">
        <v>0</v>
      </c>
      <c r="AL37" s="259">
        <v>0</v>
      </c>
      <c r="AM37" s="259">
        <v>0</v>
      </c>
      <c r="AN37" s="259">
        <v>0</v>
      </c>
      <c r="AO37" s="259">
        <v>0</v>
      </c>
      <c r="AP37" s="259">
        <v>0</v>
      </c>
      <c r="AQ37" s="259">
        <v>0</v>
      </c>
      <c r="AR37" s="259">
        <v>0</v>
      </c>
      <c r="AS37" s="259">
        <v>0</v>
      </c>
      <c r="AT37" s="259">
        <v>0</v>
      </c>
      <c r="AU37" s="259">
        <v>0</v>
      </c>
      <c r="AV37" s="259">
        <v>0</v>
      </c>
      <c r="AW37" s="259">
        <v>0</v>
      </c>
      <c r="AX37" s="259">
        <v>0</v>
      </c>
      <c r="AY37" s="259">
        <v>0</v>
      </c>
      <c r="AZ37" s="259">
        <v>0</v>
      </c>
      <c r="BA37" s="259">
        <v>0</v>
      </c>
      <c r="BB37" s="259">
        <v>0</v>
      </c>
      <c r="BC37" s="259">
        <v>0</v>
      </c>
      <c r="BD37" s="259">
        <v>0</v>
      </c>
      <c r="BE37" s="259">
        <v>0</v>
      </c>
      <c r="BF37" s="259">
        <v>0</v>
      </c>
    </row>
    <row r="38" spans="1:58" x14ac:dyDescent="0.3">
      <c r="A38" s="266" t="s">
        <v>798</v>
      </c>
      <c r="B38" s="264" t="s">
        <v>792</v>
      </c>
      <c r="C38" s="264" t="s">
        <v>792</v>
      </c>
      <c r="D38" s="264" t="s">
        <v>792</v>
      </c>
      <c r="E38" s="264" t="s">
        <v>792</v>
      </c>
      <c r="F38" s="264" t="s">
        <v>792</v>
      </c>
      <c r="G38" s="264" t="s">
        <v>792</v>
      </c>
      <c r="H38" s="264" t="s">
        <v>792</v>
      </c>
      <c r="I38" s="264" t="s">
        <v>792</v>
      </c>
      <c r="J38" s="264" t="s">
        <v>792</v>
      </c>
      <c r="K38" s="264" t="s">
        <v>792</v>
      </c>
      <c r="L38" s="264" t="s">
        <v>792</v>
      </c>
      <c r="M38" s="264" t="s">
        <v>792</v>
      </c>
      <c r="N38" s="264" t="s">
        <v>792</v>
      </c>
      <c r="O38" s="264" t="s">
        <v>792</v>
      </c>
      <c r="P38" s="264" t="s">
        <v>792</v>
      </c>
      <c r="Q38" s="264" t="s">
        <v>792</v>
      </c>
      <c r="R38" s="264" t="s">
        <v>792</v>
      </c>
      <c r="S38" s="264" t="s">
        <v>792</v>
      </c>
      <c r="T38" s="264" t="s">
        <v>792</v>
      </c>
      <c r="U38" s="264" t="s">
        <v>792</v>
      </c>
      <c r="V38" s="264" t="s">
        <v>792</v>
      </c>
      <c r="W38" s="264" t="s">
        <v>792</v>
      </c>
      <c r="X38" s="264" t="s">
        <v>792</v>
      </c>
      <c r="Y38" s="264" t="s">
        <v>792</v>
      </c>
      <c r="Z38" s="264" t="s">
        <v>792</v>
      </c>
      <c r="AA38" s="264" t="s">
        <v>792</v>
      </c>
      <c r="AB38" s="264" t="s">
        <v>792</v>
      </c>
      <c r="AC38" s="264" t="s">
        <v>792</v>
      </c>
      <c r="AD38" s="264" t="s">
        <v>792</v>
      </c>
      <c r="AE38" s="264" t="s">
        <v>792</v>
      </c>
      <c r="AF38" s="264" t="s">
        <v>792</v>
      </c>
      <c r="AG38" s="264" t="s">
        <v>792</v>
      </c>
      <c r="AH38" s="259">
        <v>0</v>
      </c>
      <c r="AI38" s="264" t="s">
        <v>792</v>
      </c>
      <c r="AJ38" s="259">
        <v>0</v>
      </c>
      <c r="AK38" s="259">
        <v>0</v>
      </c>
      <c r="AL38" s="259">
        <v>0</v>
      </c>
      <c r="AM38" s="259">
        <v>0</v>
      </c>
      <c r="AN38" s="259">
        <v>0</v>
      </c>
      <c r="AO38" s="259">
        <v>0</v>
      </c>
      <c r="AP38" s="259">
        <v>0</v>
      </c>
      <c r="AQ38" s="259">
        <v>0</v>
      </c>
      <c r="AR38" s="259">
        <v>0</v>
      </c>
      <c r="AS38" s="259">
        <v>0</v>
      </c>
      <c r="AT38" s="259">
        <v>0</v>
      </c>
      <c r="AU38" s="259">
        <v>0</v>
      </c>
      <c r="AV38" s="259">
        <v>0</v>
      </c>
      <c r="AW38" s="259">
        <v>0</v>
      </c>
      <c r="AX38" s="259">
        <v>0</v>
      </c>
      <c r="AY38" s="259">
        <v>0</v>
      </c>
      <c r="AZ38" s="259">
        <v>0</v>
      </c>
      <c r="BA38" s="259">
        <v>0</v>
      </c>
      <c r="BB38" s="259">
        <v>0</v>
      </c>
      <c r="BC38" s="259">
        <v>0</v>
      </c>
      <c r="BD38" s="259">
        <v>0</v>
      </c>
      <c r="BE38" s="259">
        <v>0</v>
      </c>
      <c r="BF38" s="259">
        <v>0</v>
      </c>
    </row>
    <row r="39" spans="1:58" x14ac:dyDescent="0.3">
      <c r="A39" s="265" t="s">
        <v>818</v>
      </c>
      <c r="B39" s="256" t="s">
        <v>792</v>
      </c>
      <c r="C39" s="256" t="s">
        <v>792</v>
      </c>
      <c r="D39" s="256" t="s">
        <v>792</v>
      </c>
      <c r="E39" s="256" t="s">
        <v>792</v>
      </c>
      <c r="F39" s="256" t="s">
        <v>792</v>
      </c>
      <c r="G39" s="256" t="s">
        <v>792</v>
      </c>
      <c r="H39" s="256" t="s">
        <v>792</v>
      </c>
      <c r="I39" s="256" t="s">
        <v>792</v>
      </c>
      <c r="J39" s="256" t="s">
        <v>792</v>
      </c>
      <c r="K39" s="256" t="s">
        <v>792</v>
      </c>
      <c r="L39" s="256" t="s">
        <v>792</v>
      </c>
      <c r="M39" s="256" t="s">
        <v>792</v>
      </c>
      <c r="N39" s="256" t="s">
        <v>792</v>
      </c>
      <c r="O39" s="256" t="s">
        <v>792</v>
      </c>
      <c r="P39" s="256" t="s">
        <v>792</v>
      </c>
      <c r="Q39" s="256" t="s">
        <v>792</v>
      </c>
      <c r="R39" s="256" t="s">
        <v>792</v>
      </c>
      <c r="S39" s="256" t="s">
        <v>792</v>
      </c>
      <c r="T39" s="256" t="s">
        <v>792</v>
      </c>
      <c r="U39" s="256" t="s">
        <v>792</v>
      </c>
      <c r="V39" s="256" t="s">
        <v>792</v>
      </c>
      <c r="W39" s="256" t="s">
        <v>792</v>
      </c>
      <c r="X39" s="256" t="s">
        <v>792</v>
      </c>
      <c r="Y39" s="256" t="s">
        <v>792</v>
      </c>
      <c r="Z39" s="256" t="s">
        <v>792</v>
      </c>
      <c r="AA39" s="256" t="s">
        <v>792</v>
      </c>
      <c r="AB39" s="256" t="s">
        <v>792</v>
      </c>
      <c r="AC39" s="256" t="s">
        <v>792</v>
      </c>
      <c r="AD39" s="256" t="s">
        <v>792</v>
      </c>
      <c r="AE39" s="256" t="s">
        <v>792</v>
      </c>
      <c r="AF39" s="256" t="s">
        <v>792</v>
      </c>
      <c r="AG39" s="256" t="s">
        <v>792</v>
      </c>
      <c r="AH39" s="257">
        <v>0</v>
      </c>
      <c r="AI39" s="256" t="s">
        <v>792</v>
      </c>
      <c r="AJ39" s="257">
        <v>0</v>
      </c>
      <c r="AK39" s="257">
        <v>0</v>
      </c>
      <c r="AL39" s="257">
        <v>0</v>
      </c>
      <c r="AM39" s="257">
        <v>0</v>
      </c>
      <c r="AN39" s="257">
        <v>0</v>
      </c>
      <c r="AO39" s="257">
        <v>0</v>
      </c>
      <c r="AP39" s="257">
        <v>0</v>
      </c>
      <c r="AQ39" s="257">
        <v>0</v>
      </c>
      <c r="AR39" s="257">
        <v>0</v>
      </c>
      <c r="AS39" s="257">
        <v>0</v>
      </c>
      <c r="AT39" s="257">
        <v>0</v>
      </c>
      <c r="AU39" s="257">
        <v>0</v>
      </c>
      <c r="AV39" s="257">
        <v>0</v>
      </c>
      <c r="AW39" s="257">
        <v>0</v>
      </c>
      <c r="AX39" s="257">
        <v>0</v>
      </c>
      <c r="AY39" s="257">
        <v>0</v>
      </c>
      <c r="AZ39" s="257">
        <v>0</v>
      </c>
      <c r="BA39" s="257">
        <v>0</v>
      </c>
      <c r="BB39" s="257">
        <v>0</v>
      </c>
      <c r="BC39" s="257">
        <v>0</v>
      </c>
      <c r="BD39" s="257">
        <v>0</v>
      </c>
      <c r="BE39" s="257">
        <v>0</v>
      </c>
      <c r="BF39" s="257">
        <v>0</v>
      </c>
    </row>
    <row r="40" spans="1:58" x14ac:dyDescent="0.3">
      <c r="A40" s="263" t="s">
        <v>819</v>
      </c>
      <c r="B40" s="264" t="s">
        <v>792</v>
      </c>
      <c r="C40" s="264" t="s">
        <v>792</v>
      </c>
      <c r="D40" s="264" t="s">
        <v>792</v>
      </c>
      <c r="E40" s="264" t="s">
        <v>792</v>
      </c>
      <c r="F40" s="259">
        <v>0</v>
      </c>
      <c r="G40" s="259">
        <v>0</v>
      </c>
      <c r="H40" s="259">
        <v>0</v>
      </c>
      <c r="I40" s="259">
        <v>0</v>
      </c>
      <c r="J40" s="259">
        <v>0</v>
      </c>
      <c r="K40" s="259">
        <v>0</v>
      </c>
      <c r="L40" s="259">
        <v>0</v>
      </c>
      <c r="M40" s="259">
        <v>0</v>
      </c>
      <c r="N40" s="259">
        <v>0</v>
      </c>
      <c r="O40" s="259">
        <v>0</v>
      </c>
      <c r="P40" s="259">
        <v>0</v>
      </c>
      <c r="Q40" s="259">
        <v>0</v>
      </c>
      <c r="R40" s="259">
        <v>0</v>
      </c>
      <c r="S40" s="259">
        <v>0</v>
      </c>
      <c r="T40" s="259">
        <v>0</v>
      </c>
      <c r="U40" s="259">
        <v>0</v>
      </c>
      <c r="V40" s="259">
        <v>0</v>
      </c>
      <c r="W40" s="259">
        <v>0</v>
      </c>
      <c r="X40" s="259">
        <v>0</v>
      </c>
      <c r="Y40" s="259">
        <v>0</v>
      </c>
      <c r="Z40" s="259">
        <v>0</v>
      </c>
      <c r="AA40" s="259">
        <v>0</v>
      </c>
      <c r="AB40" s="259">
        <v>0</v>
      </c>
      <c r="AC40" s="259">
        <v>0</v>
      </c>
      <c r="AD40" s="259">
        <v>0</v>
      </c>
      <c r="AE40" s="259">
        <v>0</v>
      </c>
      <c r="AF40" s="259">
        <v>0</v>
      </c>
      <c r="AG40" s="259">
        <v>0</v>
      </c>
      <c r="AH40" s="259">
        <v>0</v>
      </c>
      <c r="AI40" s="259">
        <v>0</v>
      </c>
      <c r="AJ40" s="259">
        <v>0</v>
      </c>
      <c r="AK40" s="259">
        <v>0</v>
      </c>
      <c r="AL40" s="259">
        <v>0</v>
      </c>
      <c r="AM40" s="259">
        <v>0</v>
      </c>
      <c r="AN40" s="259">
        <v>0</v>
      </c>
      <c r="AO40" s="259">
        <v>0</v>
      </c>
      <c r="AP40" s="259">
        <v>0</v>
      </c>
      <c r="AQ40" s="259">
        <v>0</v>
      </c>
      <c r="AR40" s="259">
        <v>0</v>
      </c>
      <c r="AS40" s="259">
        <v>0</v>
      </c>
      <c r="AT40" s="259">
        <v>0</v>
      </c>
      <c r="AU40" s="259">
        <v>0</v>
      </c>
      <c r="AV40" s="259">
        <v>0</v>
      </c>
      <c r="AW40" s="259">
        <v>0</v>
      </c>
      <c r="AX40" s="259">
        <v>0</v>
      </c>
      <c r="AY40" s="259">
        <v>0</v>
      </c>
      <c r="AZ40" s="259">
        <v>0</v>
      </c>
      <c r="BA40" s="259">
        <v>0</v>
      </c>
      <c r="BB40" s="259">
        <v>0</v>
      </c>
      <c r="BC40" s="259">
        <v>0</v>
      </c>
      <c r="BD40" s="259">
        <v>0</v>
      </c>
      <c r="BE40" s="259">
        <v>0</v>
      </c>
      <c r="BF40" s="259">
        <v>0</v>
      </c>
    </row>
    <row r="41" spans="1:58" x14ac:dyDescent="0.3">
      <c r="A41" s="263" t="s">
        <v>820</v>
      </c>
      <c r="B41" s="264" t="s">
        <v>792</v>
      </c>
      <c r="C41" s="264" t="s">
        <v>792</v>
      </c>
      <c r="D41" s="264" t="s">
        <v>792</v>
      </c>
      <c r="E41" s="264" t="s">
        <v>792</v>
      </c>
      <c r="F41" s="259">
        <v>0</v>
      </c>
      <c r="G41" s="259">
        <v>0</v>
      </c>
      <c r="H41" s="259">
        <v>0</v>
      </c>
      <c r="I41" s="259">
        <v>0</v>
      </c>
      <c r="J41" s="259">
        <v>0</v>
      </c>
      <c r="K41" s="259">
        <v>1092900</v>
      </c>
      <c r="L41" s="259">
        <v>0</v>
      </c>
      <c r="M41" s="259">
        <v>0</v>
      </c>
      <c r="N41" s="259">
        <v>0</v>
      </c>
      <c r="O41" s="259">
        <v>0</v>
      </c>
      <c r="P41" s="259">
        <v>0</v>
      </c>
      <c r="Q41" s="259">
        <v>0</v>
      </c>
      <c r="R41" s="259">
        <v>0</v>
      </c>
      <c r="S41" s="259">
        <v>0</v>
      </c>
      <c r="T41" s="259">
        <v>0</v>
      </c>
      <c r="U41" s="259">
        <v>0</v>
      </c>
      <c r="V41" s="259">
        <v>0</v>
      </c>
      <c r="W41" s="259">
        <v>0</v>
      </c>
      <c r="X41" s="259">
        <v>0</v>
      </c>
      <c r="Y41" s="259">
        <v>0</v>
      </c>
      <c r="Z41" s="259">
        <v>0</v>
      </c>
      <c r="AA41" s="259">
        <v>0</v>
      </c>
      <c r="AB41" s="259">
        <v>0</v>
      </c>
      <c r="AC41" s="259">
        <v>0</v>
      </c>
      <c r="AD41" s="259">
        <v>0</v>
      </c>
      <c r="AE41" s="259">
        <v>0</v>
      </c>
      <c r="AF41" s="259">
        <v>0</v>
      </c>
      <c r="AG41" s="259">
        <v>0</v>
      </c>
      <c r="AH41" s="259">
        <v>0</v>
      </c>
      <c r="AI41" s="259">
        <v>0</v>
      </c>
      <c r="AJ41" s="259">
        <v>0</v>
      </c>
      <c r="AK41" s="259">
        <v>0</v>
      </c>
      <c r="AL41" s="259">
        <v>0</v>
      </c>
      <c r="AM41" s="259">
        <v>0</v>
      </c>
      <c r="AN41" s="259">
        <v>0</v>
      </c>
      <c r="AO41" s="259">
        <v>0</v>
      </c>
      <c r="AP41" s="259">
        <v>0</v>
      </c>
      <c r="AQ41" s="259">
        <v>0</v>
      </c>
      <c r="AR41" s="259">
        <v>0</v>
      </c>
      <c r="AS41" s="259">
        <v>0</v>
      </c>
      <c r="AT41" s="259">
        <v>0</v>
      </c>
      <c r="AU41" s="259">
        <v>0</v>
      </c>
      <c r="AV41" s="259">
        <v>0</v>
      </c>
      <c r="AW41" s="259">
        <v>0</v>
      </c>
      <c r="AX41" s="259">
        <v>0</v>
      </c>
      <c r="AY41" s="259">
        <v>0</v>
      </c>
      <c r="AZ41" s="259">
        <v>0</v>
      </c>
      <c r="BA41" s="259">
        <v>0</v>
      </c>
      <c r="BB41" s="259">
        <v>0</v>
      </c>
      <c r="BC41" s="259">
        <v>0</v>
      </c>
      <c r="BD41" s="259">
        <v>0</v>
      </c>
      <c r="BE41" s="259">
        <v>0</v>
      </c>
      <c r="BF41" s="259">
        <v>0</v>
      </c>
    </row>
    <row r="42" spans="1:58" x14ac:dyDescent="0.3">
      <c r="A42" s="265" t="s">
        <v>821</v>
      </c>
      <c r="B42" s="256" t="s">
        <v>792</v>
      </c>
      <c r="C42" s="256" t="s">
        <v>792</v>
      </c>
      <c r="D42" s="256" t="s">
        <v>792</v>
      </c>
      <c r="E42" s="256" t="s">
        <v>792</v>
      </c>
      <c r="F42" s="257">
        <v>0</v>
      </c>
      <c r="G42" s="257">
        <v>0</v>
      </c>
      <c r="H42" s="257">
        <v>0</v>
      </c>
      <c r="I42" s="257">
        <v>0</v>
      </c>
      <c r="J42" s="257">
        <v>0</v>
      </c>
      <c r="K42" s="256" t="s">
        <v>792</v>
      </c>
      <c r="L42" s="257">
        <v>0</v>
      </c>
      <c r="M42" s="257">
        <v>0</v>
      </c>
      <c r="N42" s="257">
        <v>0</v>
      </c>
      <c r="O42" s="257">
        <v>0</v>
      </c>
      <c r="P42" s="257">
        <v>0</v>
      </c>
      <c r="Q42" s="257">
        <v>0</v>
      </c>
      <c r="R42" s="257">
        <v>0</v>
      </c>
      <c r="S42" s="257">
        <v>0</v>
      </c>
      <c r="T42" s="257">
        <v>0</v>
      </c>
      <c r="U42" s="257">
        <v>0</v>
      </c>
      <c r="V42" s="257">
        <v>0</v>
      </c>
      <c r="W42" s="257">
        <v>0</v>
      </c>
      <c r="X42" s="257">
        <v>0</v>
      </c>
      <c r="Y42" s="257">
        <v>0</v>
      </c>
      <c r="Z42" s="257">
        <v>0</v>
      </c>
      <c r="AA42" s="257">
        <v>0</v>
      </c>
      <c r="AB42" s="257">
        <v>0</v>
      </c>
      <c r="AC42" s="257">
        <v>0</v>
      </c>
      <c r="AD42" s="257">
        <v>0</v>
      </c>
      <c r="AE42" s="257">
        <v>0</v>
      </c>
      <c r="AF42" s="257">
        <v>0</v>
      </c>
      <c r="AG42" s="257">
        <v>0</v>
      </c>
      <c r="AH42" s="257">
        <v>0</v>
      </c>
      <c r="AI42" s="257">
        <v>0</v>
      </c>
      <c r="AJ42" s="257">
        <v>0</v>
      </c>
      <c r="AK42" s="257">
        <v>0</v>
      </c>
      <c r="AL42" s="257">
        <v>0</v>
      </c>
      <c r="AM42" s="257">
        <v>0</v>
      </c>
      <c r="AN42" s="257">
        <v>0</v>
      </c>
      <c r="AO42" s="257">
        <v>0</v>
      </c>
      <c r="AP42" s="257">
        <v>0</v>
      </c>
      <c r="AQ42" s="257">
        <v>0</v>
      </c>
      <c r="AR42" s="257">
        <v>0</v>
      </c>
      <c r="AS42" s="257">
        <v>0</v>
      </c>
      <c r="AT42" s="257">
        <v>0</v>
      </c>
      <c r="AU42" s="257">
        <v>0</v>
      </c>
      <c r="AV42" s="257">
        <v>0</v>
      </c>
      <c r="AW42" s="257">
        <v>0</v>
      </c>
      <c r="AX42" s="257">
        <v>0</v>
      </c>
      <c r="AY42" s="257">
        <v>0</v>
      </c>
      <c r="AZ42" s="257">
        <v>0</v>
      </c>
      <c r="BA42" s="257">
        <v>0</v>
      </c>
      <c r="BB42" s="257">
        <v>0</v>
      </c>
      <c r="BC42" s="257">
        <v>0</v>
      </c>
      <c r="BD42" s="257">
        <v>0</v>
      </c>
      <c r="BE42" s="257">
        <v>0</v>
      </c>
      <c r="BF42" s="257">
        <v>0</v>
      </c>
    </row>
    <row r="43" spans="1:58" x14ac:dyDescent="0.3">
      <c r="A43" s="265" t="s">
        <v>822</v>
      </c>
      <c r="B43" s="256" t="s">
        <v>792</v>
      </c>
      <c r="C43" s="256" t="s">
        <v>792</v>
      </c>
      <c r="D43" s="256" t="s">
        <v>792</v>
      </c>
      <c r="E43" s="256" t="s">
        <v>792</v>
      </c>
      <c r="F43" s="257">
        <v>0</v>
      </c>
      <c r="G43" s="257">
        <v>0</v>
      </c>
      <c r="H43" s="257">
        <v>0</v>
      </c>
      <c r="I43" s="257">
        <v>0</v>
      </c>
      <c r="J43" s="257">
        <v>0</v>
      </c>
      <c r="K43" s="256" t="s">
        <v>792</v>
      </c>
      <c r="L43" s="257">
        <v>0</v>
      </c>
      <c r="M43" s="257">
        <v>0</v>
      </c>
      <c r="N43" s="257">
        <v>0</v>
      </c>
      <c r="O43" s="257">
        <v>0</v>
      </c>
      <c r="P43" s="257">
        <v>0</v>
      </c>
      <c r="Q43" s="257">
        <v>0</v>
      </c>
      <c r="R43" s="257">
        <v>0</v>
      </c>
      <c r="S43" s="257">
        <v>0</v>
      </c>
      <c r="T43" s="257">
        <v>0</v>
      </c>
      <c r="U43" s="257">
        <v>0</v>
      </c>
      <c r="V43" s="257">
        <v>0</v>
      </c>
      <c r="W43" s="257">
        <v>0</v>
      </c>
      <c r="X43" s="257">
        <v>0</v>
      </c>
      <c r="Y43" s="257">
        <v>0</v>
      </c>
      <c r="Z43" s="257">
        <v>0</v>
      </c>
      <c r="AA43" s="257">
        <v>0</v>
      </c>
      <c r="AB43" s="257">
        <v>0</v>
      </c>
      <c r="AC43" s="257">
        <v>0</v>
      </c>
      <c r="AD43" s="257">
        <v>0</v>
      </c>
      <c r="AE43" s="257">
        <v>0</v>
      </c>
      <c r="AF43" s="257">
        <v>0</v>
      </c>
      <c r="AG43" s="257">
        <v>0</v>
      </c>
      <c r="AH43" s="257">
        <v>0</v>
      </c>
      <c r="AI43" s="257">
        <v>0</v>
      </c>
      <c r="AJ43" s="257">
        <v>0</v>
      </c>
      <c r="AK43" s="257">
        <v>0</v>
      </c>
      <c r="AL43" s="257">
        <v>0</v>
      </c>
      <c r="AM43" s="257">
        <v>0</v>
      </c>
      <c r="AN43" s="257">
        <v>0</v>
      </c>
      <c r="AO43" s="257">
        <v>0</v>
      </c>
      <c r="AP43" s="257">
        <v>0</v>
      </c>
      <c r="AQ43" s="257">
        <v>0</v>
      </c>
      <c r="AR43" s="257">
        <v>0</v>
      </c>
      <c r="AS43" s="257">
        <v>0</v>
      </c>
      <c r="AT43" s="257">
        <v>0</v>
      </c>
      <c r="AU43" s="257">
        <v>0</v>
      </c>
      <c r="AV43" s="257">
        <v>0</v>
      </c>
      <c r="AW43" s="257">
        <v>0</v>
      </c>
      <c r="AX43" s="257">
        <v>0</v>
      </c>
      <c r="AY43" s="257">
        <v>0</v>
      </c>
      <c r="AZ43" s="257">
        <v>0</v>
      </c>
      <c r="BA43" s="257">
        <v>0</v>
      </c>
      <c r="BB43" s="257">
        <v>0</v>
      </c>
      <c r="BC43" s="257">
        <v>0</v>
      </c>
      <c r="BD43" s="257">
        <v>0</v>
      </c>
      <c r="BE43" s="257">
        <v>0</v>
      </c>
      <c r="BF43" s="257">
        <v>0</v>
      </c>
    </row>
    <row r="44" spans="1:58" x14ac:dyDescent="0.3">
      <c r="A44" s="263" t="s">
        <v>823</v>
      </c>
      <c r="B44" s="264" t="s">
        <v>792</v>
      </c>
      <c r="C44" s="264" t="s">
        <v>792</v>
      </c>
      <c r="D44" s="264" t="s">
        <v>792</v>
      </c>
      <c r="E44" s="264" t="s">
        <v>792</v>
      </c>
      <c r="F44" s="259">
        <v>0</v>
      </c>
      <c r="G44" s="259">
        <v>0</v>
      </c>
      <c r="H44" s="259">
        <v>0</v>
      </c>
      <c r="I44" s="259">
        <v>0</v>
      </c>
      <c r="J44" s="259">
        <v>0</v>
      </c>
      <c r="K44" s="259">
        <v>0</v>
      </c>
      <c r="L44" s="259">
        <v>0</v>
      </c>
      <c r="M44" s="259">
        <v>0</v>
      </c>
      <c r="N44" s="259">
        <v>0</v>
      </c>
      <c r="O44" s="259">
        <v>0</v>
      </c>
      <c r="P44" s="259">
        <v>0</v>
      </c>
      <c r="Q44" s="259">
        <v>0</v>
      </c>
      <c r="R44" s="259">
        <v>0</v>
      </c>
      <c r="S44" s="259">
        <v>0</v>
      </c>
      <c r="T44" s="259">
        <v>0</v>
      </c>
      <c r="U44" s="259">
        <v>0</v>
      </c>
      <c r="V44" s="259">
        <v>0</v>
      </c>
      <c r="W44" s="259">
        <v>0</v>
      </c>
      <c r="X44" s="259">
        <v>0</v>
      </c>
      <c r="Y44" s="259">
        <v>0</v>
      </c>
      <c r="Z44" s="259">
        <v>0</v>
      </c>
      <c r="AA44" s="259">
        <v>0</v>
      </c>
      <c r="AB44" s="259">
        <v>0</v>
      </c>
      <c r="AC44" s="259">
        <v>0</v>
      </c>
      <c r="AD44" s="259">
        <v>0</v>
      </c>
      <c r="AE44" s="259">
        <v>0</v>
      </c>
      <c r="AF44" s="259">
        <v>0</v>
      </c>
      <c r="AG44" s="259">
        <v>0</v>
      </c>
      <c r="AH44" s="259">
        <v>0</v>
      </c>
      <c r="AI44" s="259">
        <v>0</v>
      </c>
      <c r="AJ44" s="259">
        <v>0</v>
      </c>
      <c r="AK44" s="259">
        <v>0</v>
      </c>
      <c r="AL44" s="259">
        <v>0</v>
      </c>
      <c r="AM44" s="259">
        <v>0</v>
      </c>
      <c r="AN44" s="259">
        <v>0</v>
      </c>
      <c r="AO44" s="259">
        <v>0</v>
      </c>
      <c r="AP44" s="259">
        <v>0</v>
      </c>
      <c r="AQ44" s="259">
        <v>0</v>
      </c>
      <c r="AR44" s="259">
        <v>0</v>
      </c>
      <c r="AS44" s="259">
        <v>0</v>
      </c>
      <c r="AT44" s="259">
        <v>0</v>
      </c>
      <c r="AU44" s="259">
        <v>0</v>
      </c>
      <c r="AV44" s="259">
        <v>0</v>
      </c>
      <c r="AW44" s="259">
        <v>0</v>
      </c>
      <c r="AX44" s="259">
        <v>0</v>
      </c>
      <c r="AY44" s="259">
        <v>0</v>
      </c>
      <c r="AZ44" s="259">
        <v>0</v>
      </c>
      <c r="BA44" s="259">
        <v>0</v>
      </c>
      <c r="BB44" s="259">
        <v>0</v>
      </c>
      <c r="BC44" s="259">
        <v>0</v>
      </c>
      <c r="BD44" s="259">
        <v>0</v>
      </c>
      <c r="BE44" s="259">
        <v>0</v>
      </c>
      <c r="BF44" s="259">
        <v>0</v>
      </c>
    </row>
    <row r="45" spans="1:58" x14ac:dyDescent="0.3">
      <c r="A45" s="263" t="s">
        <v>824</v>
      </c>
      <c r="B45" s="264" t="s">
        <v>792</v>
      </c>
      <c r="C45" s="264" t="s">
        <v>792</v>
      </c>
      <c r="D45" s="264" t="s">
        <v>792</v>
      </c>
      <c r="E45" s="264" t="s">
        <v>792</v>
      </c>
      <c r="F45" s="259">
        <v>0</v>
      </c>
      <c r="G45" s="259">
        <v>0</v>
      </c>
      <c r="H45" s="259">
        <v>0</v>
      </c>
      <c r="I45" s="259">
        <v>0</v>
      </c>
      <c r="J45" s="259">
        <v>0</v>
      </c>
      <c r="K45" s="259">
        <v>0</v>
      </c>
      <c r="L45" s="259">
        <v>0</v>
      </c>
      <c r="M45" s="259">
        <v>0</v>
      </c>
      <c r="N45" s="259">
        <v>0</v>
      </c>
      <c r="O45" s="259">
        <v>0</v>
      </c>
      <c r="P45" s="259">
        <v>0</v>
      </c>
      <c r="Q45" s="259">
        <v>0</v>
      </c>
      <c r="R45" s="259">
        <v>0</v>
      </c>
      <c r="S45" s="259">
        <v>0</v>
      </c>
      <c r="T45" s="259">
        <v>0</v>
      </c>
      <c r="U45" s="259">
        <v>0</v>
      </c>
      <c r="V45" s="259">
        <v>0</v>
      </c>
      <c r="W45" s="259">
        <v>0</v>
      </c>
      <c r="X45" s="259">
        <v>0</v>
      </c>
      <c r="Y45" s="259">
        <v>0</v>
      </c>
      <c r="Z45" s="259">
        <v>0</v>
      </c>
      <c r="AA45" s="259">
        <v>0</v>
      </c>
      <c r="AB45" s="259">
        <v>0</v>
      </c>
      <c r="AC45" s="259">
        <v>0</v>
      </c>
      <c r="AD45" s="259">
        <v>0</v>
      </c>
      <c r="AE45" s="259">
        <v>0</v>
      </c>
      <c r="AF45" s="259">
        <v>0</v>
      </c>
      <c r="AG45" s="259">
        <v>0</v>
      </c>
      <c r="AH45" s="259">
        <v>0</v>
      </c>
      <c r="AI45" s="259">
        <v>0</v>
      </c>
      <c r="AJ45" s="259">
        <v>0</v>
      </c>
      <c r="AK45" s="259">
        <v>0</v>
      </c>
      <c r="AL45" s="259">
        <v>0</v>
      </c>
      <c r="AM45" s="259">
        <v>0</v>
      </c>
      <c r="AN45" s="259">
        <v>0</v>
      </c>
      <c r="AO45" s="259">
        <v>0</v>
      </c>
      <c r="AP45" s="259">
        <v>0</v>
      </c>
      <c r="AQ45" s="259">
        <v>0</v>
      </c>
      <c r="AR45" s="259">
        <v>0</v>
      </c>
      <c r="AS45" s="259">
        <v>0</v>
      </c>
      <c r="AT45" s="259">
        <v>0</v>
      </c>
      <c r="AU45" s="259">
        <v>0</v>
      </c>
      <c r="AV45" s="259">
        <v>0</v>
      </c>
      <c r="AW45" s="259">
        <v>0</v>
      </c>
      <c r="AX45" s="259">
        <v>0</v>
      </c>
      <c r="AY45" s="259">
        <v>0</v>
      </c>
      <c r="AZ45" s="259">
        <v>0</v>
      </c>
      <c r="BA45" s="259">
        <v>0</v>
      </c>
      <c r="BB45" s="259">
        <v>0</v>
      </c>
      <c r="BC45" s="259">
        <v>0</v>
      </c>
      <c r="BD45" s="259">
        <v>0</v>
      </c>
      <c r="BE45" s="259">
        <v>0</v>
      </c>
      <c r="BF45" s="259">
        <v>0</v>
      </c>
    </row>
    <row r="46" spans="1:58" x14ac:dyDescent="0.3">
      <c r="A46" s="263" t="s">
        <v>825</v>
      </c>
      <c r="B46" s="264" t="s">
        <v>792</v>
      </c>
      <c r="C46" s="264" t="s">
        <v>792</v>
      </c>
      <c r="D46" s="264" t="s">
        <v>792</v>
      </c>
      <c r="E46" s="264" t="s">
        <v>792</v>
      </c>
      <c r="F46" s="259">
        <v>0</v>
      </c>
      <c r="G46" s="259">
        <v>0</v>
      </c>
      <c r="H46" s="259">
        <v>0</v>
      </c>
      <c r="I46" s="259">
        <v>0</v>
      </c>
      <c r="J46" s="259">
        <v>0</v>
      </c>
      <c r="K46" s="259">
        <v>0</v>
      </c>
      <c r="L46" s="259">
        <v>0</v>
      </c>
      <c r="M46" s="259">
        <v>0</v>
      </c>
      <c r="N46" s="259">
        <v>0</v>
      </c>
      <c r="O46" s="259">
        <v>0</v>
      </c>
      <c r="P46" s="259">
        <v>0</v>
      </c>
      <c r="Q46" s="259">
        <v>0</v>
      </c>
      <c r="R46" s="259">
        <v>0</v>
      </c>
      <c r="S46" s="259">
        <v>0</v>
      </c>
      <c r="T46" s="259">
        <v>0</v>
      </c>
      <c r="U46" s="259">
        <v>0</v>
      </c>
      <c r="V46" s="259">
        <v>0</v>
      </c>
      <c r="W46" s="259">
        <v>0</v>
      </c>
      <c r="X46" s="259">
        <v>0</v>
      </c>
      <c r="Y46" s="259">
        <v>1615</v>
      </c>
      <c r="Z46" s="259">
        <v>1226</v>
      </c>
      <c r="AA46" s="259">
        <v>1381</v>
      </c>
      <c r="AB46" s="259">
        <v>1237</v>
      </c>
      <c r="AC46" s="259">
        <v>10844</v>
      </c>
      <c r="AD46" s="259">
        <v>5782</v>
      </c>
      <c r="AE46" s="259">
        <v>21440</v>
      </c>
      <c r="AF46" s="259">
        <v>18905</v>
      </c>
      <c r="AG46" s="259">
        <v>29987</v>
      </c>
      <c r="AH46" s="259">
        <v>0</v>
      </c>
      <c r="AI46" s="259">
        <v>18422</v>
      </c>
      <c r="AJ46" s="259">
        <v>17692</v>
      </c>
      <c r="AK46" s="259">
        <v>12438</v>
      </c>
      <c r="AL46" s="259">
        <v>8338</v>
      </c>
      <c r="AM46" s="259">
        <v>8871</v>
      </c>
      <c r="AN46" s="259">
        <v>12932</v>
      </c>
      <c r="AO46" s="259">
        <v>12787</v>
      </c>
      <c r="AP46" s="259">
        <v>160313</v>
      </c>
      <c r="AQ46" s="259">
        <v>163565</v>
      </c>
      <c r="AR46" s="259">
        <v>189150</v>
      </c>
      <c r="AS46" s="259">
        <v>162468</v>
      </c>
      <c r="AT46" s="259">
        <v>199942</v>
      </c>
      <c r="AU46" s="259">
        <v>258998</v>
      </c>
      <c r="AV46" s="259">
        <v>178023</v>
      </c>
      <c r="AW46" s="259">
        <v>202259</v>
      </c>
      <c r="AX46" s="259">
        <v>378679</v>
      </c>
      <c r="AY46" s="259">
        <v>657698</v>
      </c>
      <c r="AZ46" s="259">
        <v>666660</v>
      </c>
      <c r="BA46" s="259">
        <v>468120</v>
      </c>
      <c r="BB46" s="259">
        <v>692076</v>
      </c>
      <c r="BC46" s="259">
        <v>637312</v>
      </c>
      <c r="BD46" s="259">
        <v>744773</v>
      </c>
      <c r="BE46" s="259">
        <v>425637</v>
      </c>
      <c r="BF46" s="259">
        <v>516582</v>
      </c>
    </row>
    <row r="47" spans="1:58" x14ac:dyDescent="0.3">
      <c r="A47" s="265" t="s">
        <v>826</v>
      </c>
      <c r="B47" s="256" t="s">
        <v>792</v>
      </c>
      <c r="C47" s="256" t="s">
        <v>792</v>
      </c>
      <c r="D47" s="256" t="s">
        <v>792</v>
      </c>
      <c r="E47" s="256" t="s">
        <v>792</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1615</v>
      </c>
      <c r="Z47" s="257">
        <v>1226</v>
      </c>
      <c r="AA47" s="257">
        <v>1381</v>
      </c>
      <c r="AB47" s="257">
        <v>1237</v>
      </c>
      <c r="AC47" s="257">
        <v>10844</v>
      </c>
      <c r="AD47" s="257">
        <v>5782</v>
      </c>
      <c r="AE47" s="257">
        <v>21440</v>
      </c>
      <c r="AF47" s="257">
        <v>18905</v>
      </c>
      <c r="AG47" s="257">
        <v>29987</v>
      </c>
      <c r="AH47" s="257">
        <v>0</v>
      </c>
      <c r="AI47" s="257">
        <v>18422</v>
      </c>
      <c r="AJ47" s="257">
        <v>17692</v>
      </c>
      <c r="AK47" s="257">
        <v>12438</v>
      </c>
      <c r="AL47" s="257">
        <v>8338</v>
      </c>
      <c r="AM47" s="257">
        <v>8871</v>
      </c>
      <c r="AN47" s="257">
        <v>12932</v>
      </c>
      <c r="AO47" s="257">
        <v>12787</v>
      </c>
      <c r="AP47" s="257">
        <v>160313</v>
      </c>
      <c r="AQ47" s="257">
        <v>163565</v>
      </c>
      <c r="AR47" s="257">
        <v>189150</v>
      </c>
      <c r="AS47" s="257">
        <v>162468</v>
      </c>
      <c r="AT47" s="257">
        <v>199942</v>
      </c>
      <c r="AU47" s="257">
        <v>258998</v>
      </c>
      <c r="AV47" s="257">
        <v>178023</v>
      </c>
      <c r="AW47" s="257">
        <v>202259</v>
      </c>
      <c r="AX47" s="257">
        <v>378679</v>
      </c>
      <c r="AY47" s="257">
        <v>657698</v>
      </c>
      <c r="AZ47" s="257">
        <v>666660</v>
      </c>
      <c r="BA47" s="257">
        <v>468120</v>
      </c>
      <c r="BB47" s="257">
        <v>692076</v>
      </c>
      <c r="BC47" s="257">
        <v>637312</v>
      </c>
      <c r="BD47" s="257">
        <v>744773</v>
      </c>
      <c r="BE47" s="257">
        <v>425637</v>
      </c>
      <c r="BF47" s="257">
        <v>516582</v>
      </c>
    </row>
    <row r="48" spans="1:58" x14ac:dyDescent="0.3">
      <c r="A48" s="265" t="s">
        <v>798</v>
      </c>
      <c r="B48" s="256" t="s">
        <v>792</v>
      </c>
      <c r="C48" s="256" t="s">
        <v>792</v>
      </c>
      <c r="D48" s="256" t="s">
        <v>792</v>
      </c>
      <c r="E48" s="256" t="s">
        <v>792</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0</v>
      </c>
      <c r="AI48" s="257">
        <v>0</v>
      </c>
      <c r="AJ48" s="257">
        <v>0</v>
      </c>
      <c r="AK48" s="257">
        <v>0</v>
      </c>
      <c r="AL48" s="257">
        <v>0</v>
      </c>
      <c r="AM48" s="257">
        <v>0</v>
      </c>
      <c r="AN48" s="257">
        <v>0</v>
      </c>
      <c r="AO48" s="257">
        <v>0</v>
      </c>
      <c r="AP48" s="257">
        <v>0</v>
      </c>
      <c r="AQ48" s="257">
        <v>0</v>
      </c>
      <c r="AR48" s="257">
        <v>0</v>
      </c>
      <c r="AS48" s="257">
        <v>0</v>
      </c>
      <c r="AT48" s="257">
        <v>0</v>
      </c>
      <c r="AU48" s="257">
        <v>0</v>
      </c>
      <c r="AV48" s="257">
        <v>0</v>
      </c>
      <c r="AW48" s="257">
        <v>0</v>
      </c>
      <c r="AX48" s="257">
        <v>0</v>
      </c>
      <c r="AY48" s="257">
        <v>0</v>
      </c>
      <c r="AZ48" s="257">
        <v>0</v>
      </c>
      <c r="BA48" s="257">
        <v>0</v>
      </c>
      <c r="BB48" s="257">
        <v>0</v>
      </c>
      <c r="BC48" s="257">
        <v>0</v>
      </c>
      <c r="BD48" s="257">
        <v>0</v>
      </c>
      <c r="BE48" s="257">
        <v>0</v>
      </c>
      <c r="BF48" s="257">
        <v>0</v>
      </c>
    </row>
    <row r="49" spans="1:58" x14ac:dyDescent="0.3">
      <c r="A49" s="263" t="s">
        <v>827</v>
      </c>
      <c r="B49" s="264" t="s">
        <v>792</v>
      </c>
      <c r="C49" s="264" t="s">
        <v>792</v>
      </c>
      <c r="D49" s="264" t="s">
        <v>792</v>
      </c>
      <c r="E49" s="264" t="s">
        <v>792</v>
      </c>
      <c r="F49" s="259">
        <v>0</v>
      </c>
      <c r="G49" s="259">
        <v>0</v>
      </c>
      <c r="H49" s="259">
        <v>0</v>
      </c>
      <c r="I49" s="259">
        <v>0</v>
      </c>
      <c r="J49" s="259">
        <v>0</v>
      </c>
      <c r="K49" s="259">
        <v>0</v>
      </c>
      <c r="L49" s="259">
        <v>0</v>
      </c>
      <c r="M49" s="259">
        <v>0</v>
      </c>
      <c r="N49" s="259">
        <v>0</v>
      </c>
      <c r="O49" s="259">
        <v>0</v>
      </c>
      <c r="P49" s="259">
        <v>0</v>
      </c>
      <c r="Q49" s="259">
        <v>0</v>
      </c>
      <c r="R49" s="259">
        <v>0</v>
      </c>
      <c r="S49" s="259">
        <v>0</v>
      </c>
      <c r="T49" s="259">
        <v>0</v>
      </c>
      <c r="U49" s="259">
        <v>0</v>
      </c>
      <c r="V49" s="259">
        <v>0</v>
      </c>
      <c r="W49" s="259">
        <v>0</v>
      </c>
      <c r="X49" s="259">
        <v>0</v>
      </c>
      <c r="Y49" s="259">
        <v>0</v>
      </c>
      <c r="Z49" s="259">
        <v>0</v>
      </c>
      <c r="AA49" s="259">
        <v>0</v>
      </c>
      <c r="AB49" s="259">
        <v>0</v>
      </c>
      <c r="AC49" s="259">
        <v>0</v>
      </c>
      <c r="AD49" s="259">
        <v>0</v>
      </c>
      <c r="AE49" s="259">
        <v>0</v>
      </c>
      <c r="AF49" s="259">
        <v>0</v>
      </c>
      <c r="AG49" s="259">
        <v>0</v>
      </c>
      <c r="AH49" s="259">
        <v>0</v>
      </c>
      <c r="AI49" s="259">
        <v>0</v>
      </c>
      <c r="AJ49" s="259">
        <v>0</v>
      </c>
      <c r="AK49" s="259">
        <v>0</v>
      </c>
      <c r="AL49" s="259">
        <v>0</v>
      </c>
      <c r="AM49" s="259">
        <v>0</v>
      </c>
      <c r="AN49" s="259">
        <v>0</v>
      </c>
      <c r="AO49" s="259">
        <v>0</v>
      </c>
      <c r="AP49" s="259">
        <v>0</v>
      </c>
      <c r="AQ49" s="259">
        <v>0</v>
      </c>
      <c r="AR49" s="259">
        <v>0</v>
      </c>
      <c r="AS49" s="259">
        <v>0</v>
      </c>
      <c r="AT49" s="259">
        <v>0</v>
      </c>
      <c r="AU49" s="259">
        <v>0</v>
      </c>
      <c r="AV49" s="259">
        <v>0</v>
      </c>
      <c r="AW49" s="259">
        <v>0</v>
      </c>
      <c r="AX49" s="259">
        <v>0</v>
      </c>
      <c r="AY49" s="259">
        <v>0</v>
      </c>
      <c r="AZ49" s="259">
        <v>0</v>
      </c>
      <c r="BA49" s="259">
        <v>0</v>
      </c>
      <c r="BB49" s="259">
        <v>0</v>
      </c>
      <c r="BC49" s="259">
        <v>0</v>
      </c>
      <c r="BD49" s="259">
        <v>0</v>
      </c>
      <c r="BE49" s="259">
        <v>0</v>
      </c>
      <c r="BF49" s="259">
        <v>0</v>
      </c>
    </row>
    <row r="50" spans="1:58" x14ac:dyDescent="0.3">
      <c r="A50" s="263" t="s">
        <v>828</v>
      </c>
      <c r="B50" s="264" t="s">
        <v>792</v>
      </c>
      <c r="C50" s="264" t="s">
        <v>792</v>
      </c>
      <c r="D50" s="264" t="s">
        <v>792</v>
      </c>
      <c r="E50" s="264" t="s">
        <v>792</v>
      </c>
      <c r="F50" s="259">
        <v>0</v>
      </c>
      <c r="G50" s="259">
        <v>0</v>
      </c>
      <c r="H50" s="259">
        <v>0</v>
      </c>
      <c r="I50" s="259">
        <v>0</v>
      </c>
      <c r="J50" s="259">
        <v>0</v>
      </c>
      <c r="K50" s="259">
        <v>0</v>
      </c>
      <c r="L50" s="259">
        <v>0</v>
      </c>
      <c r="M50" s="259">
        <v>0</v>
      </c>
      <c r="N50" s="259">
        <v>0</v>
      </c>
      <c r="O50" s="259">
        <v>0</v>
      </c>
      <c r="P50" s="259">
        <v>0</v>
      </c>
      <c r="Q50" s="259">
        <v>0</v>
      </c>
      <c r="R50" s="259">
        <v>0</v>
      </c>
      <c r="S50" s="259">
        <v>0</v>
      </c>
      <c r="T50" s="259">
        <v>0</v>
      </c>
      <c r="U50" s="259">
        <v>0</v>
      </c>
      <c r="V50" s="259">
        <v>0</v>
      </c>
      <c r="W50" s="259">
        <v>0</v>
      </c>
      <c r="X50" s="259">
        <v>0</v>
      </c>
      <c r="Y50" s="259">
        <v>0</v>
      </c>
      <c r="Z50" s="259">
        <v>0</v>
      </c>
      <c r="AA50" s="259">
        <v>0</v>
      </c>
      <c r="AB50" s="259">
        <v>0</v>
      </c>
      <c r="AC50" s="259">
        <v>0</v>
      </c>
      <c r="AD50" s="259">
        <v>0</v>
      </c>
      <c r="AE50" s="259">
        <v>0</v>
      </c>
      <c r="AF50" s="259">
        <v>0</v>
      </c>
      <c r="AG50" s="259">
        <v>0</v>
      </c>
      <c r="AH50" s="259">
        <v>80275</v>
      </c>
      <c r="AI50" s="259">
        <v>0</v>
      </c>
      <c r="AJ50" s="259">
        <v>0</v>
      </c>
      <c r="AK50" s="259">
        <v>0</v>
      </c>
      <c r="AL50" s="259">
        <v>0</v>
      </c>
      <c r="AM50" s="259">
        <v>0</v>
      </c>
      <c r="AN50" s="259">
        <v>0</v>
      </c>
      <c r="AO50" s="259">
        <v>0</v>
      </c>
      <c r="AP50" s="259">
        <v>0</v>
      </c>
      <c r="AQ50" s="259">
        <v>0</v>
      </c>
      <c r="AR50" s="259">
        <v>0</v>
      </c>
      <c r="AS50" s="259">
        <v>0</v>
      </c>
      <c r="AT50" s="259">
        <v>0</v>
      </c>
      <c r="AU50" s="259">
        <v>0</v>
      </c>
      <c r="AV50" s="259">
        <v>0</v>
      </c>
      <c r="AW50" s="259">
        <v>0</v>
      </c>
      <c r="AX50" s="259">
        <v>0</v>
      </c>
      <c r="AY50" s="259">
        <v>0</v>
      </c>
      <c r="AZ50" s="259">
        <v>0</v>
      </c>
      <c r="BA50" s="259">
        <v>0</v>
      </c>
      <c r="BB50" s="259">
        <v>0</v>
      </c>
      <c r="BC50" s="259">
        <v>0</v>
      </c>
      <c r="BD50" s="259">
        <v>0</v>
      </c>
      <c r="BE50" s="259">
        <v>0</v>
      </c>
      <c r="BF50" s="259">
        <v>0</v>
      </c>
    </row>
    <row r="51" spans="1:58" x14ac:dyDescent="0.3">
      <c r="A51" s="265" t="s">
        <v>829</v>
      </c>
      <c r="B51" s="256" t="s">
        <v>792</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v>
      </c>
      <c r="AI51" s="257">
        <v>0</v>
      </c>
      <c r="AJ51" s="257">
        <v>0</v>
      </c>
      <c r="AK51" s="257">
        <v>0</v>
      </c>
      <c r="AL51" s="257">
        <v>0</v>
      </c>
      <c r="AM51" s="257">
        <v>0</v>
      </c>
      <c r="AN51" s="257">
        <v>0</v>
      </c>
      <c r="AO51" s="257">
        <v>0</v>
      </c>
      <c r="AP51" s="257">
        <v>0</v>
      </c>
      <c r="AQ51" s="257">
        <v>0</v>
      </c>
      <c r="AR51" s="257">
        <v>0</v>
      </c>
      <c r="AS51" s="257">
        <v>0</v>
      </c>
      <c r="AT51" s="257">
        <v>0</v>
      </c>
      <c r="AU51" s="257">
        <v>0</v>
      </c>
      <c r="AV51" s="257">
        <v>0</v>
      </c>
      <c r="AW51" s="257">
        <v>0</v>
      </c>
      <c r="AX51" s="257">
        <v>0</v>
      </c>
      <c r="AY51" s="257">
        <v>0</v>
      </c>
      <c r="AZ51" s="257">
        <v>0</v>
      </c>
      <c r="BA51" s="257">
        <v>0</v>
      </c>
      <c r="BB51" s="257">
        <v>0</v>
      </c>
      <c r="BC51" s="257">
        <v>0</v>
      </c>
      <c r="BD51" s="257">
        <v>0</v>
      </c>
      <c r="BE51" s="257">
        <v>0</v>
      </c>
      <c r="BF51" s="257">
        <v>0</v>
      </c>
    </row>
    <row r="52" spans="1:58" x14ac:dyDescent="0.3">
      <c r="A52" s="265" t="s">
        <v>830</v>
      </c>
      <c r="B52" s="256" t="s">
        <v>792</v>
      </c>
      <c r="C52" s="257">
        <v>4556</v>
      </c>
      <c r="D52" s="257">
        <v>0</v>
      </c>
      <c r="E52" s="257">
        <v>0</v>
      </c>
      <c r="F52" s="257">
        <v>0</v>
      </c>
      <c r="G52" s="257">
        <v>0</v>
      </c>
      <c r="H52" s="257">
        <v>0</v>
      </c>
      <c r="I52" s="257">
        <v>0</v>
      </c>
      <c r="J52" s="257">
        <v>0</v>
      </c>
      <c r="K52" s="257">
        <v>0</v>
      </c>
      <c r="L52" s="257">
        <v>0</v>
      </c>
      <c r="M52" s="257">
        <v>0</v>
      </c>
      <c r="N52" s="257">
        <v>0</v>
      </c>
      <c r="O52" s="257">
        <v>0</v>
      </c>
      <c r="P52" s="257">
        <v>0</v>
      </c>
      <c r="Q52" s="257">
        <v>0</v>
      </c>
      <c r="R52" s="257">
        <v>0</v>
      </c>
      <c r="S52" s="257">
        <v>0</v>
      </c>
      <c r="T52" s="257">
        <v>0</v>
      </c>
      <c r="U52" s="257">
        <v>0</v>
      </c>
      <c r="V52" s="257">
        <v>0</v>
      </c>
      <c r="W52" s="257">
        <v>0</v>
      </c>
      <c r="X52" s="257">
        <v>0</v>
      </c>
      <c r="Y52" s="257">
        <v>0</v>
      </c>
      <c r="Z52" s="257">
        <v>0</v>
      </c>
      <c r="AA52" s="257">
        <v>0</v>
      </c>
      <c r="AB52" s="257">
        <v>0</v>
      </c>
      <c r="AC52" s="257">
        <v>0</v>
      </c>
      <c r="AD52" s="257">
        <v>0</v>
      </c>
      <c r="AE52" s="257">
        <v>0</v>
      </c>
      <c r="AF52" s="257">
        <v>0</v>
      </c>
      <c r="AG52" s="257">
        <v>0</v>
      </c>
      <c r="AH52" s="257">
        <v>0</v>
      </c>
      <c r="AI52" s="257">
        <v>0</v>
      </c>
      <c r="AJ52" s="257">
        <v>0</v>
      </c>
      <c r="AK52" s="257">
        <v>0</v>
      </c>
      <c r="AL52" s="257">
        <v>0</v>
      </c>
      <c r="AM52" s="257">
        <v>0</v>
      </c>
      <c r="AN52" s="257">
        <v>0</v>
      </c>
      <c r="AO52" s="257">
        <v>0</v>
      </c>
      <c r="AP52" s="257">
        <v>0</v>
      </c>
      <c r="AQ52" s="257">
        <v>0</v>
      </c>
      <c r="AR52" s="257">
        <v>0</v>
      </c>
      <c r="AS52" s="257">
        <v>0</v>
      </c>
      <c r="AT52" s="257">
        <v>0</v>
      </c>
      <c r="AU52" s="257">
        <v>0</v>
      </c>
      <c r="AV52" s="257">
        <v>0</v>
      </c>
      <c r="AW52" s="257">
        <v>0</v>
      </c>
      <c r="AX52" s="257">
        <v>0</v>
      </c>
      <c r="AY52" s="257">
        <v>0</v>
      </c>
      <c r="AZ52" s="257">
        <v>0</v>
      </c>
      <c r="BA52" s="257">
        <v>0</v>
      </c>
      <c r="BB52" s="257">
        <v>0</v>
      </c>
      <c r="BC52" s="257">
        <v>0</v>
      </c>
      <c r="BD52" s="257">
        <v>0</v>
      </c>
      <c r="BE52" s="257">
        <v>0</v>
      </c>
      <c r="BF52" s="257">
        <v>0</v>
      </c>
    </row>
    <row r="53" spans="1:58" x14ac:dyDescent="0.3">
      <c r="A53" s="265" t="s">
        <v>831</v>
      </c>
      <c r="B53" s="256" t="s">
        <v>792</v>
      </c>
      <c r="C53" s="256" t="s">
        <v>792</v>
      </c>
      <c r="D53" s="256" t="s">
        <v>792</v>
      </c>
      <c r="E53" s="256" t="s">
        <v>792</v>
      </c>
      <c r="F53" s="257">
        <v>0</v>
      </c>
      <c r="G53" s="257">
        <v>0</v>
      </c>
      <c r="H53" s="257">
        <v>0</v>
      </c>
      <c r="I53" s="257">
        <v>0</v>
      </c>
      <c r="J53" s="257">
        <v>0</v>
      </c>
      <c r="K53" s="257">
        <v>0</v>
      </c>
      <c r="L53" s="257">
        <v>0</v>
      </c>
      <c r="M53" s="257">
        <v>0</v>
      </c>
      <c r="N53" s="257">
        <v>0</v>
      </c>
      <c r="O53" s="257">
        <v>0</v>
      </c>
      <c r="P53" s="257">
        <v>0</v>
      </c>
      <c r="Q53" s="257">
        <v>0</v>
      </c>
      <c r="R53" s="257">
        <v>0</v>
      </c>
      <c r="S53" s="257">
        <v>0</v>
      </c>
      <c r="T53" s="257">
        <v>0</v>
      </c>
      <c r="U53" s="257">
        <v>0</v>
      </c>
      <c r="V53" s="257">
        <v>0</v>
      </c>
      <c r="W53" s="257">
        <v>0</v>
      </c>
      <c r="X53" s="257">
        <v>0</v>
      </c>
      <c r="Y53" s="257">
        <v>0</v>
      </c>
      <c r="Z53" s="257">
        <v>0</v>
      </c>
      <c r="AA53" s="257">
        <v>0</v>
      </c>
      <c r="AB53" s="257">
        <v>0</v>
      </c>
      <c r="AC53" s="257">
        <v>0</v>
      </c>
      <c r="AD53" s="257">
        <v>0</v>
      </c>
      <c r="AE53" s="257">
        <v>0</v>
      </c>
      <c r="AF53" s="257">
        <v>0</v>
      </c>
      <c r="AG53" s="257">
        <v>0</v>
      </c>
      <c r="AH53" s="257">
        <v>0</v>
      </c>
      <c r="AI53" s="257">
        <v>0</v>
      </c>
      <c r="AJ53" s="257">
        <v>0</v>
      </c>
      <c r="AK53" s="257">
        <v>0</v>
      </c>
      <c r="AL53" s="257">
        <v>0</v>
      </c>
      <c r="AM53" s="257">
        <v>0</v>
      </c>
      <c r="AN53" s="257">
        <v>0</v>
      </c>
      <c r="AO53" s="257">
        <v>0</v>
      </c>
      <c r="AP53" s="257">
        <v>0</v>
      </c>
      <c r="AQ53" s="257">
        <v>0</v>
      </c>
      <c r="AR53" s="257">
        <v>0</v>
      </c>
      <c r="AS53" s="257">
        <v>0</v>
      </c>
      <c r="AT53" s="257">
        <v>0</v>
      </c>
      <c r="AU53" s="257">
        <v>0</v>
      </c>
      <c r="AV53" s="257">
        <v>0</v>
      </c>
      <c r="AW53" s="257">
        <v>0</v>
      </c>
      <c r="AX53" s="257">
        <v>0</v>
      </c>
      <c r="AY53" s="257">
        <v>0</v>
      </c>
      <c r="AZ53" s="257">
        <v>0</v>
      </c>
      <c r="BA53" s="257">
        <v>0</v>
      </c>
      <c r="BB53" s="257">
        <v>0</v>
      </c>
      <c r="BC53" s="257">
        <v>0</v>
      </c>
      <c r="BD53" s="257">
        <v>0</v>
      </c>
      <c r="BE53" s="257">
        <v>0</v>
      </c>
      <c r="BF53" s="257">
        <v>0</v>
      </c>
    </row>
    <row r="54" spans="1:58" x14ac:dyDescent="0.3">
      <c r="A54" s="265" t="s">
        <v>832</v>
      </c>
      <c r="B54" s="256" t="s">
        <v>792</v>
      </c>
      <c r="C54" s="256" t="s">
        <v>792</v>
      </c>
      <c r="D54" s="256" t="s">
        <v>792</v>
      </c>
      <c r="E54" s="256" t="s">
        <v>792</v>
      </c>
      <c r="F54" s="257">
        <v>0</v>
      </c>
      <c r="G54" s="257">
        <v>0</v>
      </c>
      <c r="H54" s="257">
        <v>0</v>
      </c>
      <c r="I54" s="257">
        <v>0</v>
      </c>
      <c r="J54" s="257">
        <v>0</v>
      </c>
      <c r="K54" s="257">
        <v>0</v>
      </c>
      <c r="L54" s="257">
        <v>0</v>
      </c>
      <c r="M54" s="257">
        <v>0</v>
      </c>
      <c r="N54" s="257">
        <v>0</v>
      </c>
      <c r="O54" s="257">
        <v>0</v>
      </c>
      <c r="P54" s="257">
        <v>0</v>
      </c>
      <c r="Q54" s="257">
        <v>0</v>
      </c>
      <c r="R54" s="257">
        <v>0</v>
      </c>
      <c r="S54" s="257">
        <v>0</v>
      </c>
      <c r="T54" s="257">
        <v>0</v>
      </c>
      <c r="U54" s="257">
        <v>0</v>
      </c>
      <c r="V54" s="257">
        <v>0</v>
      </c>
      <c r="W54" s="257">
        <v>0</v>
      </c>
      <c r="X54" s="257">
        <v>0</v>
      </c>
      <c r="Y54" s="257">
        <v>0</v>
      </c>
      <c r="Z54" s="257">
        <v>0</v>
      </c>
      <c r="AA54" s="257">
        <v>0</v>
      </c>
      <c r="AB54" s="257">
        <v>0</v>
      </c>
      <c r="AC54" s="257">
        <v>0</v>
      </c>
      <c r="AD54" s="257">
        <v>0</v>
      </c>
      <c r="AE54" s="257">
        <v>0</v>
      </c>
      <c r="AF54" s="257">
        <v>0</v>
      </c>
      <c r="AG54" s="257">
        <v>0</v>
      </c>
      <c r="AH54" s="257">
        <v>80275</v>
      </c>
      <c r="AI54" s="257">
        <v>0</v>
      </c>
      <c r="AJ54" s="257">
        <v>0</v>
      </c>
      <c r="AK54" s="257">
        <v>0</v>
      </c>
      <c r="AL54" s="257">
        <v>0</v>
      </c>
      <c r="AM54" s="257">
        <v>0</v>
      </c>
      <c r="AN54" s="257">
        <v>0</v>
      </c>
      <c r="AO54" s="257">
        <v>0</v>
      </c>
      <c r="AP54" s="257">
        <v>0</v>
      </c>
      <c r="AQ54" s="257">
        <v>0</v>
      </c>
      <c r="AR54" s="257">
        <v>0</v>
      </c>
      <c r="AS54" s="257">
        <v>0</v>
      </c>
      <c r="AT54" s="257">
        <v>0</v>
      </c>
      <c r="AU54" s="257">
        <v>0</v>
      </c>
      <c r="AV54" s="257">
        <v>0</v>
      </c>
      <c r="AW54" s="257">
        <v>0</v>
      </c>
      <c r="AX54" s="257">
        <v>0</v>
      </c>
      <c r="AY54" s="257">
        <v>0</v>
      </c>
      <c r="AZ54" s="257">
        <v>0</v>
      </c>
      <c r="BA54" s="257">
        <v>0</v>
      </c>
      <c r="BB54" s="257">
        <v>0</v>
      </c>
      <c r="BC54" s="257">
        <v>0</v>
      </c>
      <c r="BD54" s="257">
        <v>0</v>
      </c>
      <c r="BE54" s="257">
        <v>0</v>
      </c>
      <c r="BF54" s="257">
        <v>0</v>
      </c>
    </row>
    <row r="55" spans="1:58" x14ac:dyDescent="0.3">
      <c r="A55" s="263" t="s">
        <v>833</v>
      </c>
      <c r="B55" s="264" t="s">
        <v>792</v>
      </c>
      <c r="C55" s="264" t="s">
        <v>792</v>
      </c>
      <c r="D55" s="264" t="s">
        <v>792</v>
      </c>
      <c r="E55" s="264" t="s">
        <v>792</v>
      </c>
      <c r="F55" s="259">
        <v>37494</v>
      </c>
      <c r="G55" s="259">
        <v>38466</v>
      </c>
      <c r="H55" s="259">
        <v>1328191</v>
      </c>
      <c r="I55" s="259">
        <v>436</v>
      </c>
      <c r="J55" s="259">
        <v>22396</v>
      </c>
      <c r="K55" s="259">
        <v>22384</v>
      </c>
      <c r="L55" s="259">
        <v>83039</v>
      </c>
      <c r="M55" s="259">
        <v>83314</v>
      </c>
      <c r="N55" s="259">
        <v>156265</v>
      </c>
      <c r="O55" s="259">
        <v>10540</v>
      </c>
      <c r="P55" s="259">
        <v>8618</v>
      </c>
      <c r="Q55" s="259">
        <v>10524</v>
      </c>
      <c r="R55" s="259">
        <v>4590</v>
      </c>
      <c r="S55" s="259">
        <v>4724</v>
      </c>
      <c r="T55" s="259">
        <v>4813</v>
      </c>
      <c r="U55" s="259">
        <v>4978</v>
      </c>
      <c r="V55" s="259">
        <v>5026</v>
      </c>
      <c r="W55" s="259">
        <v>5096</v>
      </c>
      <c r="X55" s="259">
        <v>23430</v>
      </c>
      <c r="Y55" s="259">
        <v>31495</v>
      </c>
      <c r="Z55" s="259">
        <v>44274</v>
      </c>
      <c r="AA55" s="259">
        <v>44447</v>
      </c>
      <c r="AB55" s="259">
        <v>44450</v>
      </c>
      <c r="AC55" s="259">
        <v>43249</v>
      </c>
      <c r="AD55" s="259">
        <v>68190</v>
      </c>
      <c r="AE55" s="259">
        <v>68567</v>
      </c>
      <c r="AF55" s="259">
        <v>80924</v>
      </c>
      <c r="AG55" s="259">
        <v>80505</v>
      </c>
      <c r="AH55" s="259">
        <v>0</v>
      </c>
      <c r="AI55" s="259">
        <v>83509</v>
      </c>
      <c r="AJ55" s="259">
        <v>86605</v>
      </c>
      <c r="AK55" s="259">
        <v>66179</v>
      </c>
      <c r="AL55" s="259">
        <v>57928</v>
      </c>
      <c r="AM55" s="259">
        <v>63118</v>
      </c>
      <c r="AN55" s="259">
        <v>94493</v>
      </c>
      <c r="AO55" s="259">
        <v>60215</v>
      </c>
      <c r="AP55" s="259">
        <v>72229</v>
      </c>
      <c r="AQ55" s="259">
        <v>72990</v>
      </c>
      <c r="AR55" s="259">
        <v>75322</v>
      </c>
      <c r="AS55" s="259">
        <v>68318</v>
      </c>
      <c r="AT55" s="259">
        <v>65761</v>
      </c>
      <c r="AU55" s="259">
        <v>60042</v>
      </c>
      <c r="AV55" s="259">
        <v>37569</v>
      </c>
      <c r="AW55" s="259">
        <v>36711</v>
      </c>
      <c r="AX55" s="259">
        <v>19204</v>
      </c>
      <c r="AY55" s="259">
        <v>43085</v>
      </c>
      <c r="AZ55" s="259">
        <v>55099</v>
      </c>
      <c r="BA55" s="259">
        <v>53666</v>
      </c>
      <c r="BB55" s="259">
        <v>37683</v>
      </c>
      <c r="BC55" s="259">
        <v>45509</v>
      </c>
      <c r="BD55" s="259">
        <v>147224</v>
      </c>
      <c r="BE55" s="259">
        <v>132485</v>
      </c>
      <c r="BF55" s="259">
        <v>115119</v>
      </c>
    </row>
    <row r="56" spans="1:58" x14ac:dyDescent="0.3">
      <c r="A56" s="265" t="s">
        <v>834</v>
      </c>
      <c r="B56" s="256" t="s">
        <v>792</v>
      </c>
      <c r="C56" s="256" t="s">
        <v>792</v>
      </c>
      <c r="D56" s="256" t="s">
        <v>792</v>
      </c>
      <c r="E56" s="256" t="s">
        <v>792</v>
      </c>
      <c r="F56" s="257">
        <v>0</v>
      </c>
      <c r="G56" s="257">
        <v>0</v>
      </c>
      <c r="H56" s="257">
        <v>0</v>
      </c>
      <c r="I56" s="257">
        <v>0</v>
      </c>
      <c r="J56" s="257">
        <v>0</v>
      </c>
      <c r="K56" s="257">
        <v>0</v>
      </c>
      <c r="L56" s="257">
        <v>0</v>
      </c>
      <c r="M56" s="257">
        <v>0</v>
      </c>
      <c r="N56" s="257">
        <v>0</v>
      </c>
      <c r="O56" s="257">
        <v>0</v>
      </c>
      <c r="P56" s="257">
        <v>0</v>
      </c>
      <c r="Q56" s="257">
        <v>0</v>
      </c>
      <c r="R56" s="257">
        <v>0</v>
      </c>
      <c r="S56" s="257">
        <v>0</v>
      </c>
      <c r="T56" s="257">
        <v>0</v>
      </c>
      <c r="U56" s="257">
        <v>0</v>
      </c>
      <c r="V56" s="257">
        <v>0</v>
      </c>
      <c r="W56" s="257">
        <v>0</v>
      </c>
      <c r="X56" s="257">
        <v>0</v>
      </c>
      <c r="Y56" s="257">
        <v>0</v>
      </c>
      <c r="Z56" s="257">
        <v>0</v>
      </c>
      <c r="AA56" s="257">
        <v>0</v>
      </c>
      <c r="AB56" s="257">
        <v>0</v>
      </c>
      <c r="AC56" s="257">
        <v>0</v>
      </c>
      <c r="AD56" s="257">
        <v>0</v>
      </c>
      <c r="AE56" s="257">
        <v>0</v>
      </c>
      <c r="AF56" s="257">
        <v>0</v>
      </c>
      <c r="AG56" s="257">
        <v>0</v>
      </c>
      <c r="AH56" s="257">
        <v>0</v>
      </c>
      <c r="AI56" s="257">
        <v>0</v>
      </c>
      <c r="AJ56" s="257">
        <v>0</v>
      </c>
      <c r="AK56" s="257">
        <v>0</v>
      </c>
      <c r="AL56" s="257">
        <v>0</v>
      </c>
      <c r="AM56" s="257">
        <v>0</v>
      </c>
      <c r="AN56" s="257">
        <v>26289</v>
      </c>
      <c r="AO56" s="257">
        <v>0</v>
      </c>
      <c r="AP56" s="257">
        <v>0</v>
      </c>
      <c r="AQ56" s="257">
        <v>0</v>
      </c>
      <c r="AR56" s="257">
        <v>0</v>
      </c>
      <c r="AS56" s="257">
        <v>0</v>
      </c>
      <c r="AT56" s="257">
        <v>0</v>
      </c>
      <c r="AU56" s="257">
        <v>0</v>
      </c>
      <c r="AV56" s="257">
        <v>0</v>
      </c>
      <c r="AW56" s="257">
        <v>0</v>
      </c>
      <c r="AX56" s="257">
        <v>0</v>
      </c>
      <c r="AY56" s="257">
        <v>0</v>
      </c>
      <c r="AZ56" s="257">
        <v>0</v>
      </c>
      <c r="BA56" s="257">
        <v>0</v>
      </c>
      <c r="BB56" s="257">
        <v>0</v>
      </c>
      <c r="BC56" s="257">
        <v>0</v>
      </c>
      <c r="BD56" s="257">
        <v>0</v>
      </c>
      <c r="BE56" s="257">
        <v>0</v>
      </c>
      <c r="BF56" s="257">
        <v>0</v>
      </c>
    </row>
    <row r="57" spans="1:58" x14ac:dyDescent="0.3">
      <c r="A57" s="265" t="s">
        <v>835</v>
      </c>
      <c r="B57" s="256" t="s">
        <v>792</v>
      </c>
      <c r="C57" s="256" t="s">
        <v>792</v>
      </c>
      <c r="D57" s="256" t="s">
        <v>792</v>
      </c>
      <c r="E57" s="256" t="s">
        <v>792</v>
      </c>
      <c r="F57" s="257">
        <v>0</v>
      </c>
      <c r="G57" s="257">
        <v>0</v>
      </c>
      <c r="H57" s="257">
        <v>0</v>
      </c>
      <c r="I57" s="257">
        <v>0</v>
      </c>
      <c r="J57" s="257">
        <v>0</v>
      </c>
      <c r="K57" s="257">
        <v>0</v>
      </c>
      <c r="L57" s="257">
        <v>0</v>
      </c>
      <c r="M57" s="257">
        <v>0</v>
      </c>
      <c r="N57" s="257">
        <v>0</v>
      </c>
      <c r="O57" s="257">
        <v>0</v>
      </c>
      <c r="P57" s="257">
        <v>0</v>
      </c>
      <c r="Q57" s="257">
        <v>0</v>
      </c>
      <c r="R57" s="257">
        <v>0</v>
      </c>
      <c r="S57" s="257">
        <v>0</v>
      </c>
      <c r="T57" s="257">
        <v>0</v>
      </c>
      <c r="U57" s="257">
        <v>0</v>
      </c>
      <c r="V57" s="257">
        <v>0</v>
      </c>
      <c r="W57" s="257">
        <v>0</v>
      </c>
      <c r="X57" s="257">
        <v>0</v>
      </c>
      <c r="Y57" s="257">
        <v>0</v>
      </c>
      <c r="Z57" s="257">
        <v>0</v>
      </c>
      <c r="AA57" s="257">
        <v>0</v>
      </c>
      <c r="AB57" s="257">
        <v>0</v>
      </c>
      <c r="AC57" s="257">
        <v>0</v>
      </c>
      <c r="AD57" s="257">
        <v>0</v>
      </c>
      <c r="AE57" s="257">
        <v>0</v>
      </c>
      <c r="AF57" s="257">
        <v>0</v>
      </c>
      <c r="AG57" s="257">
        <v>0</v>
      </c>
      <c r="AH57" s="257">
        <v>0</v>
      </c>
      <c r="AI57" s="257">
        <v>0</v>
      </c>
      <c r="AJ57" s="257">
        <v>0</v>
      </c>
      <c r="AK57" s="257">
        <v>0</v>
      </c>
      <c r="AL57" s="257">
        <v>0</v>
      </c>
      <c r="AM57" s="257">
        <v>0</v>
      </c>
      <c r="AN57" s="257">
        <v>0</v>
      </c>
      <c r="AO57" s="257">
        <v>0</v>
      </c>
      <c r="AP57" s="257">
        <v>0</v>
      </c>
      <c r="AQ57" s="257">
        <v>0</v>
      </c>
      <c r="AR57" s="257">
        <v>0</v>
      </c>
      <c r="AS57" s="257">
        <v>0</v>
      </c>
      <c r="AT57" s="257">
        <v>0</v>
      </c>
      <c r="AU57" s="257">
        <v>0</v>
      </c>
      <c r="AV57" s="257">
        <v>0</v>
      </c>
      <c r="AW57" s="257">
        <v>0</v>
      </c>
      <c r="AX57" s="257">
        <v>0</v>
      </c>
      <c r="AY57" s="257">
        <v>0</v>
      </c>
      <c r="AZ57" s="257">
        <v>0</v>
      </c>
      <c r="BA57" s="257">
        <v>0</v>
      </c>
      <c r="BB57" s="257">
        <v>0</v>
      </c>
      <c r="BC57" s="257">
        <v>0</v>
      </c>
      <c r="BD57" s="257">
        <v>0</v>
      </c>
      <c r="BE57" s="257">
        <v>0</v>
      </c>
      <c r="BF57" s="257">
        <v>0</v>
      </c>
    </row>
    <row r="58" spans="1:58" x14ac:dyDescent="0.3">
      <c r="A58" s="265" t="s">
        <v>798</v>
      </c>
      <c r="B58" s="256" t="s">
        <v>792</v>
      </c>
      <c r="C58" s="256" t="s">
        <v>792</v>
      </c>
      <c r="D58" s="256" t="s">
        <v>792</v>
      </c>
      <c r="E58" s="256" t="s">
        <v>792</v>
      </c>
      <c r="F58" s="257">
        <v>37494</v>
      </c>
      <c r="G58" s="257">
        <v>38466</v>
      </c>
      <c r="H58" s="257">
        <v>1328191</v>
      </c>
      <c r="I58" s="257">
        <v>436</v>
      </c>
      <c r="J58" s="257">
        <v>22396</v>
      </c>
      <c r="K58" s="257">
        <v>22384</v>
      </c>
      <c r="L58" s="257">
        <v>83039</v>
      </c>
      <c r="M58" s="257">
        <v>83314</v>
      </c>
      <c r="N58" s="257">
        <v>156265</v>
      </c>
      <c r="O58" s="257">
        <v>10540</v>
      </c>
      <c r="P58" s="257">
        <v>8618</v>
      </c>
      <c r="Q58" s="257">
        <v>10524</v>
      </c>
      <c r="R58" s="257">
        <v>4590</v>
      </c>
      <c r="S58" s="257">
        <v>4724</v>
      </c>
      <c r="T58" s="257">
        <v>4813</v>
      </c>
      <c r="U58" s="257">
        <v>4978</v>
      </c>
      <c r="V58" s="257">
        <v>5026</v>
      </c>
      <c r="W58" s="257">
        <v>5096</v>
      </c>
      <c r="X58" s="257">
        <v>23430</v>
      </c>
      <c r="Y58" s="257">
        <v>31495</v>
      </c>
      <c r="Z58" s="257">
        <v>44274</v>
      </c>
      <c r="AA58" s="257">
        <v>44447</v>
      </c>
      <c r="AB58" s="257">
        <v>44450</v>
      </c>
      <c r="AC58" s="257">
        <v>43249</v>
      </c>
      <c r="AD58" s="257">
        <v>68190</v>
      </c>
      <c r="AE58" s="257">
        <v>68567</v>
      </c>
      <c r="AF58" s="257">
        <v>80924</v>
      </c>
      <c r="AG58" s="257">
        <v>80505</v>
      </c>
      <c r="AH58" s="257">
        <v>0</v>
      </c>
      <c r="AI58" s="257">
        <v>83509</v>
      </c>
      <c r="AJ58" s="257">
        <v>86605</v>
      </c>
      <c r="AK58" s="257">
        <v>66179</v>
      </c>
      <c r="AL58" s="257">
        <v>57928</v>
      </c>
      <c r="AM58" s="257">
        <v>63118</v>
      </c>
      <c r="AN58" s="257">
        <v>68204</v>
      </c>
      <c r="AO58" s="257">
        <v>60215</v>
      </c>
      <c r="AP58" s="257">
        <v>72229</v>
      </c>
      <c r="AQ58" s="257">
        <v>72990</v>
      </c>
      <c r="AR58" s="257">
        <v>75322</v>
      </c>
      <c r="AS58" s="257">
        <v>68318</v>
      </c>
      <c r="AT58" s="257">
        <v>65761</v>
      </c>
      <c r="AU58" s="257">
        <v>60042</v>
      </c>
      <c r="AV58" s="257">
        <v>37569</v>
      </c>
      <c r="AW58" s="257">
        <v>36711</v>
      </c>
      <c r="AX58" s="257">
        <v>19204</v>
      </c>
      <c r="AY58" s="257">
        <v>43085</v>
      </c>
      <c r="AZ58" s="257">
        <v>55099</v>
      </c>
      <c r="BA58" s="257">
        <v>53666</v>
      </c>
      <c r="BB58" s="257">
        <v>37683</v>
      </c>
      <c r="BC58" s="257">
        <v>45509</v>
      </c>
      <c r="BD58" s="257">
        <v>147224</v>
      </c>
      <c r="BE58" s="257">
        <v>132485</v>
      </c>
      <c r="BF58" s="257">
        <v>115119</v>
      </c>
    </row>
    <row r="59" spans="1:58" x14ac:dyDescent="0.3">
      <c r="A59" s="260" t="s">
        <v>836</v>
      </c>
      <c r="B59" s="261" t="s">
        <v>792</v>
      </c>
      <c r="C59" s="261" t="s">
        <v>792</v>
      </c>
      <c r="D59" s="261" t="s">
        <v>792</v>
      </c>
      <c r="E59" s="261" t="s">
        <v>792</v>
      </c>
      <c r="F59" s="262">
        <v>0</v>
      </c>
      <c r="G59" s="262">
        <v>0</v>
      </c>
      <c r="H59" s="262">
        <v>0</v>
      </c>
      <c r="I59" s="262">
        <v>0</v>
      </c>
      <c r="J59" s="262">
        <v>0</v>
      </c>
      <c r="K59" s="262">
        <v>0</v>
      </c>
      <c r="L59" s="262">
        <v>0</v>
      </c>
      <c r="M59" s="262">
        <v>0</v>
      </c>
      <c r="N59" s="262">
        <v>0</v>
      </c>
      <c r="O59" s="262">
        <v>0</v>
      </c>
      <c r="P59" s="262">
        <v>0</v>
      </c>
      <c r="Q59" s="262">
        <v>0</v>
      </c>
      <c r="R59" s="262">
        <v>0</v>
      </c>
      <c r="S59" s="262">
        <v>0</v>
      </c>
      <c r="T59" s="262">
        <v>0</v>
      </c>
      <c r="U59" s="262">
        <v>0</v>
      </c>
      <c r="V59" s="262">
        <v>0</v>
      </c>
      <c r="W59" s="262">
        <v>0</v>
      </c>
      <c r="X59" s="262">
        <v>0</v>
      </c>
      <c r="Y59" s="262">
        <v>0</v>
      </c>
      <c r="Z59" s="262">
        <v>0</v>
      </c>
      <c r="AA59" s="262">
        <v>0</v>
      </c>
      <c r="AB59" s="262">
        <v>0</v>
      </c>
      <c r="AC59" s="262">
        <v>0</v>
      </c>
      <c r="AD59" s="262">
        <v>0</v>
      </c>
      <c r="AE59" s="262">
        <v>0</v>
      </c>
      <c r="AF59" s="262">
        <v>0</v>
      </c>
      <c r="AG59" s="262">
        <v>0</v>
      </c>
      <c r="AH59" s="262">
        <v>0</v>
      </c>
      <c r="AI59" s="262">
        <v>0</v>
      </c>
      <c r="AJ59" s="262">
        <v>0</v>
      </c>
      <c r="AK59" s="262">
        <v>0</v>
      </c>
      <c r="AL59" s="262">
        <v>0</v>
      </c>
      <c r="AM59" s="262">
        <v>0</v>
      </c>
      <c r="AN59" s="262">
        <v>0</v>
      </c>
      <c r="AO59" s="262">
        <v>0</v>
      </c>
      <c r="AP59" s="262">
        <v>0</v>
      </c>
      <c r="AQ59" s="262">
        <v>0</v>
      </c>
      <c r="AR59" s="262">
        <v>0</v>
      </c>
      <c r="AS59" s="262">
        <v>0</v>
      </c>
      <c r="AT59" s="262">
        <v>0</v>
      </c>
      <c r="AU59" s="262">
        <v>0</v>
      </c>
      <c r="AV59" s="262">
        <v>0</v>
      </c>
      <c r="AW59" s="262">
        <v>0</v>
      </c>
      <c r="AX59" s="262">
        <v>0</v>
      </c>
      <c r="AY59" s="262">
        <v>0</v>
      </c>
      <c r="AZ59" s="262">
        <v>0</v>
      </c>
      <c r="BA59" s="262">
        <v>0</v>
      </c>
      <c r="BB59" s="262">
        <v>0</v>
      </c>
      <c r="BC59" s="262">
        <v>0</v>
      </c>
      <c r="BD59" s="262">
        <v>0</v>
      </c>
      <c r="BE59" s="262">
        <v>0</v>
      </c>
      <c r="BF59" s="262">
        <v>0</v>
      </c>
    </row>
    <row r="60" spans="1:58" x14ac:dyDescent="0.3">
      <c r="A60" s="263" t="s">
        <v>837</v>
      </c>
      <c r="B60" s="259">
        <v>0</v>
      </c>
      <c r="C60" s="259">
        <v>0</v>
      </c>
      <c r="D60" s="259">
        <v>0</v>
      </c>
      <c r="E60" s="259">
        <v>0</v>
      </c>
      <c r="F60" s="259">
        <v>0</v>
      </c>
      <c r="G60" s="259">
        <v>0</v>
      </c>
      <c r="H60" s="259">
        <v>0</v>
      </c>
      <c r="I60" s="259">
        <v>0</v>
      </c>
      <c r="J60" s="259">
        <v>0</v>
      </c>
      <c r="K60" s="259">
        <v>0</v>
      </c>
      <c r="L60" s="259">
        <v>0</v>
      </c>
      <c r="M60" s="259">
        <v>0</v>
      </c>
      <c r="N60" s="259">
        <v>0</v>
      </c>
      <c r="O60" s="259">
        <v>0</v>
      </c>
      <c r="P60" s="259">
        <v>0</v>
      </c>
      <c r="Q60" s="259">
        <v>0</v>
      </c>
      <c r="R60" s="259">
        <v>0</v>
      </c>
      <c r="S60" s="259">
        <v>0</v>
      </c>
      <c r="T60" s="259">
        <v>0</v>
      </c>
      <c r="U60" s="259">
        <v>0</v>
      </c>
      <c r="V60" s="259">
        <v>0</v>
      </c>
      <c r="W60" s="259">
        <v>0</v>
      </c>
      <c r="X60" s="259">
        <v>0</v>
      </c>
      <c r="Y60" s="259">
        <v>0</v>
      </c>
      <c r="Z60" s="259">
        <v>0</v>
      </c>
      <c r="AA60" s="259">
        <v>0</v>
      </c>
      <c r="AB60" s="259">
        <v>0</v>
      </c>
      <c r="AC60" s="259">
        <v>0</v>
      </c>
      <c r="AD60" s="259">
        <v>0</v>
      </c>
      <c r="AE60" s="259">
        <v>0</v>
      </c>
      <c r="AF60" s="259">
        <v>0</v>
      </c>
      <c r="AG60" s="259">
        <v>0</v>
      </c>
      <c r="AH60" s="259">
        <v>0</v>
      </c>
      <c r="AI60" s="259">
        <v>0</v>
      </c>
      <c r="AJ60" s="259">
        <v>0</v>
      </c>
      <c r="AK60" s="259">
        <v>0</v>
      </c>
      <c r="AL60" s="259">
        <v>0</v>
      </c>
      <c r="AM60" s="259">
        <v>0</v>
      </c>
      <c r="AN60" s="259">
        <v>0</v>
      </c>
      <c r="AO60" s="259">
        <v>0</v>
      </c>
      <c r="AP60" s="259">
        <v>0</v>
      </c>
      <c r="AQ60" s="259">
        <v>0</v>
      </c>
      <c r="AR60" s="259">
        <v>0</v>
      </c>
      <c r="AS60" s="259">
        <v>0</v>
      </c>
      <c r="AT60" s="259">
        <v>0</v>
      </c>
      <c r="AU60" s="259">
        <v>0</v>
      </c>
      <c r="AV60" s="259">
        <v>0</v>
      </c>
      <c r="AW60" s="259">
        <v>0</v>
      </c>
      <c r="AX60" s="259">
        <v>0</v>
      </c>
      <c r="AY60" s="259">
        <v>0</v>
      </c>
      <c r="AZ60" s="259">
        <v>0</v>
      </c>
      <c r="BA60" s="259">
        <v>0</v>
      </c>
      <c r="BB60" s="259">
        <v>0</v>
      </c>
      <c r="BC60" s="259">
        <v>0</v>
      </c>
      <c r="BD60" s="259">
        <v>0</v>
      </c>
      <c r="BE60" s="259">
        <v>0</v>
      </c>
      <c r="BF60" s="259">
        <v>0</v>
      </c>
    </row>
    <row r="61" spans="1:58" x14ac:dyDescent="0.3">
      <c r="A61" s="265" t="s">
        <v>838</v>
      </c>
      <c r="B61" s="256" t="s">
        <v>792</v>
      </c>
      <c r="C61" s="257">
        <v>0</v>
      </c>
      <c r="D61" s="257">
        <v>0</v>
      </c>
      <c r="E61" s="257">
        <v>0</v>
      </c>
      <c r="F61" s="257">
        <v>0</v>
      </c>
      <c r="G61" s="257">
        <v>0</v>
      </c>
      <c r="H61" s="257">
        <v>0</v>
      </c>
      <c r="I61" s="257">
        <v>0</v>
      </c>
      <c r="J61" s="257">
        <v>0</v>
      </c>
      <c r="K61" s="257">
        <v>0</v>
      </c>
      <c r="L61" s="257">
        <v>0</v>
      </c>
      <c r="M61" s="257">
        <v>0</v>
      </c>
      <c r="N61" s="257">
        <v>0</v>
      </c>
      <c r="O61" s="257">
        <v>0</v>
      </c>
      <c r="P61" s="257">
        <v>0</v>
      </c>
      <c r="Q61" s="257">
        <v>0</v>
      </c>
      <c r="R61" s="257">
        <v>0</v>
      </c>
      <c r="S61" s="257">
        <v>0</v>
      </c>
      <c r="T61" s="257">
        <v>0</v>
      </c>
      <c r="U61" s="257">
        <v>0</v>
      </c>
      <c r="V61" s="257">
        <v>0</v>
      </c>
      <c r="W61" s="257">
        <v>0</v>
      </c>
      <c r="X61" s="257">
        <v>0</v>
      </c>
      <c r="Y61" s="257">
        <v>0</v>
      </c>
      <c r="Z61" s="257">
        <v>0</v>
      </c>
      <c r="AA61" s="257">
        <v>0</v>
      </c>
      <c r="AB61" s="257">
        <v>0</v>
      </c>
      <c r="AC61" s="257">
        <v>0</v>
      </c>
      <c r="AD61" s="257">
        <v>0</v>
      </c>
      <c r="AE61" s="257">
        <v>0</v>
      </c>
      <c r="AF61" s="257">
        <v>0</v>
      </c>
      <c r="AG61" s="257">
        <v>0</v>
      </c>
      <c r="AH61" s="257">
        <v>0</v>
      </c>
      <c r="AI61" s="257">
        <v>0</v>
      </c>
      <c r="AJ61" s="257">
        <v>0</v>
      </c>
      <c r="AK61" s="257">
        <v>0</v>
      </c>
      <c r="AL61" s="257">
        <v>0</v>
      </c>
      <c r="AM61" s="257">
        <v>0</v>
      </c>
      <c r="AN61" s="257">
        <v>0</v>
      </c>
      <c r="AO61" s="257">
        <v>0</v>
      </c>
      <c r="AP61" s="257">
        <v>0</v>
      </c>
      <c r="AQ61" s="257">
        <v>0</v>
      </c>
      <c r="AR61" s="257">
        <v>0</v>
      </c>
      <c r="AS61" s="257">
        <v>0</v>
      </c>
      <c r="AT61" s="257">
        <v>0</v>
      </c>
      <c r="AU61" s="257">
        <v>0</v>
      </c>
      <c r="AV61" s="257">
        <v>0</v>
      </c>
      <c r="AW61" s="257">
        <v>0</v>
      </c>
      <c r="AX61" s="257">
        <v>0</v>
      </c>
      <c r="AY61" s="257">
        <v>0</v>
      </c>
      <c r="AZ61" s="257">
        <v>0</v>
      </c>
      <c r="BA61" s="257">
        <v>0</v>
      </c>
      <c r="BB61" s="257">
        <v>0</v>
      </c>
      <c r="BC61" s="257">
        <v>0</v>
      </c>
      <c r="BD61" s="257">
        <v>0</v>
      </c>
      <c r="BE61" s="257">
        <v>0</v>
      </c>
      <c r="BF61" s="257">
        <v>0</v>
      </c>
    </row>
    <row r="62" spans="1:58" x14ac:dyDescent="0.3">
      <c r="A62" s="265" t="s">
        <v>839</v>
      </c>
      <c r="B62" s="256" t="s">
        <v>792</v>
      </c>
      <c r="C62" s="257">
        <v>0</v>
      </c>
      <c r="D62" s="257">
        <v>0</v>
      </c>
      <c r="E62" s="257">
        <v>0</v>
      </c>
      <c r="F62" s="257">
        <v>0</v>
      </c>
      <c r="G62" s="257">
        <v>0</v>
      </c>
      <c r="H62" s="257">
        <v>0</v>
      </c>
      <c r="I62" s="257">
        <v>0</v>
      </c>
      <c r="J62" s="257">
        <v>0</v>
      </c>
      <c r="K62" s="257">
        <v>0</v>
      </c>
      <c r="L62" s="257">
        <v>0</v>
      </c>
      <c r="M62" s="257">
        <v>0</v>
      </c>
      <c r="N62" s="257">
        <v>0</v>
      </c>
      <c r="O62" s="257">
        <v>0</v>
      </c>
      <c r="P62" s="257">
        <v>0</v>
      </c>
      <c r="Q62" s="257">
        <v>0</v>
      </c>
      <c r="R62" s="257">
        <v>0</v>
      </c>
      <c r="S62" s="257">
        <v>0</v>
      </c>
      <c r="T62" s="257">
        <v>0</v>
      </c>
      <c r="U62" s="257">
        <v>0</v>
      </c>
      <c r="V62" s="257">
        <v>0</v>
      </c>
      <c r="W62" s="257">
        <v>0</v>
      </c>
      <c r="X62" s="257">
        <v>0</v>
      </c>
      <c r="Y62" s="257">
        <v>0</v>
      </c>
      <c r="Z62" s="257">
        <v>0</v>
      </c>
      <c r="AA62" s="257">
        <v>0</v>
      </c>
      <c r="AB62" s="257">
        <v>0</v>
      </c>
      <c r="AC62" s="257">
        <v>0</v>
      </c>
      <c r="AD62" s="257">
        <v>0</v>
      </c>
      <c r="AE62" s="257">
        <v>0</v>
      </c>
      <c r="AF62" s="257">
        <v>0</v>
      </c>
      <c r="AG62" s="257">
        <v>0</v>
      </c>
      <c r="AH62" s="257">
        <v>0</v>
      </c>
      <c r="AI62" s="257">
        <v>0</v>
      </c>
      <c r="AJ62" s="257">
        <v>0</v>
      </c>
      <c r="AK62" s="257">
        <v>0</v>
      </c>
      <c r="AL62" s="257">
        <v>0</v>
      </c>
      <c r="AM62" s="257">
        <v>0</v>
      </c>
      <c r="AN62" s="257">
        <v>0</v>
      </c>
      <c r="AO62" s="257">
        <v>0</v>
      </c>
      <c r="AP62" s="257">
        <v>0</v>
      </c>
      <c r="AQ62" s="257">
        <v>0</v>
      </c>
      <c r="AR62" s="257">
        <v>0</v>
      </c>
      <c r="AS62" s="257">
        <v>0</v>
      </c>
      <c r="AT62" s="257">
        <v>0</v>
      </c>
      <c r="AU62" s="257">
        <v>0</v>
      </c>
      <c r="AV62" s="257">
        <v>0</v>
      </c>
      <c r="AW62" s="257">
        <v>0</v>
      </c>
      <c r="AX62" s="257">
        <v>0</v>
      </c>
      <c r="AY62" s="257">
        <v>0</v>
      </c>
      <c r="AZ62" s="257">
        <v>0</v>
      </c>
      <c r="BA62" s="257">
        <v>0</v>
      </c>
      <c r="BB62" s="257">
        <v>0</v>
      </c>
      <c r="BC62" s="257">
        <v>0</v>
      </c>
      <c r="BD62" s="257">
        <v>0</v>
      </c>
      <c r="BE62" s="257">
        <v>0</v>
      </c>
      <c r="BF62" s="257">
        <v>0</v>
      </c>
    </row>
    <row r="63" spans="1:58" x14ac:dyDescent="0.3">
      <c r="A63" s="265" t="s">
        <v>840</v>
      </c>
      <c r="B63" s="256" t="s">
        <v>792</v>
      </c>
      <c r="C63" s="257">
        <v>0</v>
      </c>
      <c r="D63" s="257">
        <v>0</v>
      </c>
      <c r="E63" s="257">
        <v>0</v>
      </c>
      <c r="F63" s="257">
        <v>0</v>
      </c>
      <c r="G63" s="257">
        <v>0</v>
      </c>
      <c r="H63" s="257">
        <v>0</v>
      </c>
      <c r="I63" s="257">
        <v>0</v>
      </c>
      <c r="J63" s="257">
        <v>0</v>
      </c>
      <c r="K63" s="257">
        <v>0</v>
      </c>
      <c r="L63" s="257">
        <v>0</v>
      </c>
      <c r="M63" s="257">
        <v>0</v>
      </c>
      <c r="N63" s="257">
        <v>0</v>
      </c>
      <c r="O63" s="257">
        <v>0</v>
      </c>
      <c r="P63" s="257">
        <v>0</v>
      </c>
      <c r="Q63" s="257">
        <v>0</v>
      </c>
      <c r="R63" s="257">
        <v>0</v>
      </c>
      <c r="S63" s="257">
        <v>0</v>
      </c>
      <c r="T63" s="257">
        <v>0</v>
      </c>
      <c r="U63" s="257">
        <v>0</v>
      </c>
      <c r="V63" s="257">
        <v>0</v>
      </c>
      <c r="W63" s="257">
        <v>0</v>
      </c>
      <c r="X63" s="257">
        <v>0</v>
      </c>
      <c r="Y63" s="257">
        <v>0</v>
      </c>
      <c r="Z63" s="257">
        <v>0</v>
      </c>
      <c r="AA63" s="257">
        <v>0</v>
      </c>
      <c r="AB63" s="257">
        <v>0</v>
      </c>
      <c r="AC63" s="257">
        <v>0</v>
      </c>
      <c r="AD63" s="257">
        <v>0</v>
      </c>
      <c r="AE63" s="257">
        <v>0</v>
      </c>
      <c r="AF63" s="257">
        <v>0</v>
      </c>
      <c r="AG63" s="257">
        <v>0</v>
      </c>
      <c r="AH63" s="257">
        <v>0</v>
      </c>
      <c r="AI63" s="257">
        <v>0</v>
      </c>
      <c r="AJ63" s="257">
        <v>0</v>
      </c>
      <c r="AK63" s="257">
        <v>0</v>
      </c>
      <c r="AL63" s="257">
        <v>0</v>
      </c>
      <c r="AM63" s="257">
        <v>0</v>
      </c>
      <c r="AN63" s="257">
        <v>0</v>
      </c>
      <c r="AO63" s="257">
        <v>0</v>
      </c>
      <c r="AP63" s="257">
        <v>0</v>
      </c>
      <c r="AQ63" s="257">
        <v>0</v>
      </c>
      <c r="AR63" s="257">
        <v>0</v>
      </c>
      <c r="AS63" s="257">
        <v>0</v>
      </c>
      <c r="AT63" s="257">
        <v>0</v>
      </c>
      <c r="AU63" s="257">
        <v>0</v>
      </c>
      <c r="AV63" s="257">
        <v>0</v>
      </c>
      <c r="AW63" s="257">
        <v>0</v>
      </c>
      <c r="AX63" s="257">
        <v>0</v>
      </c>
      <c r="AY63" s="257">
        <v>0</v>
      </c>
      <c r="AZ63" s="257">
        <v>0</v>
      </c>
      <c r="BA63" s="257">
        <v>0</v>
      </c>
      <c r="BB63" s="257">
        <v>0</v>
      </c>
      <c r="BC63" s="257">
        <v>0</v>
      </c>
      <c r="BD63" s="257">
        <v>0</v>
      </c>
      <c r="BE63" s="257">
        <v>0</v>
      </c>
      <c r="BF63" s="257">
        <v>0</v>
      </c>
    </row>
    <row r="64" spans="1:58" x14ac:dyDescent="0.3">
      <c r="A64" s="265" t="s">
        <v>841</v>
      </c>
      <c r="B64" s="256" t="s">
        <v>792</v>
      </c>
      <c r="C64" s="257">
        <v>0</v>
      </c>
      <c r="D64" s="257">
        <v>0</v>
      </c>
      <c r="E64" s="257">
        <v>0</v>
      </c>
      <c r="F64" s="257">
        <v>0</v>
      </c>
      <c r="G64" s="257">
        <v>0</v>
      </c>
      <c r="H64" s="257">
        <v>0</v>
      </c>
      <c r="I64" s="257">
        <v>0</v>
      </c>
      <c r="J64" s="257">
        <v>0</v>
      </c>
      <c r="K64" s="257">
        <v>0</v>
      </c>
      <c r="L64" s="257">
        <v>0</v>
      </c>
      <c r="M64" s="257">
        <v>0</v>
      </c>
      <c r="N64" s="257">
        <v>0</v>
      </c>
      <c r="O64" s="257">
        <v>0</v>
      </c>
      <c r="P64" s="257">
        <v>0</v>
      </c>
      <c r="Q64" s="257">
        <v>0</v>
      </c>
      <c r="R64" s="257">
        <v>0</v>
      </c>
      <c r="S64" s="257">
        <v>0</v>
      </c>
      <c r="T64" s="257">
        <v>0</v>
      </c>
      <c r="U64" s="257">
        <v>0</v>
      </c>
      <c r="V64" s="257">
        <v>0</v>
      </c>
      <c r="W64" s="257">
        <v>0</v>
      </c>
      <c r="X64" s="257">
        <v>0</v>
      </c>
      <c r="Y64" s="257">
        <v>0</v>
      </c>
      <c r="Z64" s="257">
        <v>0</v>
      </c>
      <c r="AA64" s="257">
        <v>0</v>
      </c>
      <c r="AB64" s="257">
        <v>0</v>
      </c>
      <c r="AC64" s="257">
        <v>0</v>
      </c>
      <c r="AD64" s="257">
        <v>0</v>
      </c>
      <c r="AE64" s="257">
        <v>0</v>
      </c>
      <c r="AF64" s="257">
        <v>0</v>
      </c>
      <c r="AG64" s="257">
        <v>0</v>
      </c>
      <c r="AH64" s="257">
        <v>0</v>
      </c>
      <c r="AI64" s="257">
        <v>0</v>
      </c>
      <c r="AJ64" s="257">
        <v>0</v>
      </c>
      <c r="AK64" s="257">
        <v>0</v>
      </c>
      <c r="AL64" s="257">
        <v>0</v>
      </c>
      <c r="AM64" s="257">
        <v>0</v>
      </c>
      <c r="AN64" s="257">
        <v>0</v>
      </c>
      <c r="AO64" s="257">
        <v>0</v>
      </c>
      <c r="AP64" s="257">
        <v>0</v>
      </c>
      <c r="AQ64" s="257">
        <v>0</v>
      </c>
      <c r="AR64" s="257">
        <v>0</v>
      </c>
      <c r="AS64" s="257">
        <v>0</v>
      </c>
      <c r="AT64" s="257">
        <v>0</v>
      </c>
      <c r="AU64" s="257">
        <v>0</v>
      </c>
      <c r="AV64" s="257">
        <v>0</v>
      </c>
      <c r="AW64" s="257">
        <v>0</v>
      </c>
      <c r="AX64" s="257">
        <v>0</v>
      </c>
      <c r="AY64" s="257">
        <v>0</v>
      </c>
      <c r="AZ64" s="257">
        <v>0</v>
      </c>
      <c r="BA64" s="257">
        <v>0</v>
      </c>
      <c r="BB64" s="257">
        <v>0</v>
      </c>
      <c r="BC64" s="257">
        <v>0</v>
      </c>
      <c r="BD64" s="257">
        <v>0</v>
      </c>
      <c r="BE64" s="257">
        <v>0</v>
      </c>
      <c r="BF64" s="257">
        <v>0</v>
      </c>
    </row>
    <row r="65" spans="1:58" x14ac:dyDescent="0.3">
      <c r="A65" s="263" t="s">
        <v>842</v>
      </c>
      <c r="B65" s="264" t="s">
        <v>792</v>
      </c>
      <c r="C65" s="264" t="s">
        <v>792</v>
      </c>
      <c r="D65" s="264" t="s">
        <v>792</v>
      </c>
      <c r="E65" s="264" t="s">
        <v>792</v>
      </c>
      <c r="F65" s="259">
        <v>0</v>
      </c>
      <c r="G65" s="259">
        <v>0</v>
      </c>
      <c r="H65" s="259">
        <v>0</v>
      </c>
      <c r="I65" s="259">
        <v>0</v>
      </c>
      <c r="J65" s="259">
        <v>0</v>
      </c>
      <c r="K65" s="259">
        <v>0</v>
      </c>
      <c r="L65" s="259">
        <v>0</v>
      </c>
      <c r="M65" s="259">
        <v>0</v>
      </c>
      <c r="N65" s="259">
        <v>0</v>
      </c>
      <c r="O65" s="259">
        <v>0</v>
      </c>
      <c r="P65" s="259">
        <v>0</v>
      </c>
      <c r="Q65" s="259">
        <v>0</v>
      </c>
      <c r="R65" s="259">
        <v>0</v>
      </c>
      <c r="S65" s="259">
        <v>0</v>
      </c>
      <c r="T65" s="259">
        <v>0</v>
      </c>
      <c r="U65" s="259">
        <v>0</v>
      </c>
      <c r="V65" s="259">
        <v>0</v>
      </c>
      <c r="W65" s="259">
        <v>0</v>
      </c>
      <c r="X65" s="259">
        <v>0</v>
      </c>
      <c r="Y65" s="259">
        <v>0</v>
      </c>
      <c r="Z65" s="259">
        <v>0</v>
      </c>
      <c r="AA65" s="259">
        <v>0</v>
      </c>
      <c r="AB65" s="259">
        <v>0</v>
      </c>
      <c r="AC65" s="259">
        <v>0</v>
      </c>
      <c r="AD65" s="259">
        <v>0</v>
      </c>
      <c r="AE65" s="259">
        <v>0</v>
      </c>
      <c r="AF65" s="259">
        <v>0</v>
      </c>
      <c r="AG65" s="259">
        <v>0</v>
      </c>
      <c r="AH65" s="259">
        <v>0</v>
      </c>
      <c r="AI65" s="259">
        <v>0</v>
      </c>
      <c r="AJ65" s="259">
        <v>0</v>
      </c>
      <c r="AK65" s="259">
        <v>0</v>
      </c>
      <c r="AL65" s="259">
        <v>0</v>
      </c>
      <c r="AM65" s="259">
        <v>0</v>
      </c>
      <c r="AN65" s="259">
        <v>0</v>
      </c>
      <c r="AO65" s="259">
        <v>0</v>
      </c>
      <c r="AP65" s="259">
        <v>0</v>
      </c>
      <c r="AQ65" s="259">
        <v>0</v>
      </c>
      <c r="AR65" s="259">
        <v>0</v>
      </c>
      <c r="AS65" s="259">
        <v>0</v>
      </c>
      <c r="AT65" s="259">
        <v>0</v>
      </c>
      <c r="AU65" s="259">
        <v>0</v>
      </c>
      <c r="AV65" s="259">
        <v>0</v>
      </c>
      <c r="AW65" s="259">
        <v>0</v>
      </c>
      <c r="AX65" s="259">
        <v>0</v>
      </c>
      <c r="AY65" s="259">
        <v>0</v>
      </c>
      <c r="AZ65" s="259">
        <v>0</v>
      </c>
      <c r="BA65" s="259">
        <v>0</v>
      </c>
      <c r="BB65" s="259">
        <v>0</v>
      </c>
      <c r="BC65" s="259">
        <v>0</v>
      </c>
      <c r="BD65" s="259">
        <v>0</v>
      </c>
      <c r="BE65" s="259">
        <v>0</v>
      </c>
      <c r="BF65" s="259">
        <v>0</v>
      </c>
    </row>
    <row r="66" spans="1:58" x14ac:dyDescent="0.3">
      <c r="A66" s="260" t="s">
        <v>843</v>
      </c>
      <c r="B66" s="262">
        <v>4485</v>
      </c>
      <c r="C66" s="262">
        <v>6451</v>
      </c>
      <c r="D66" s="262">
        <v>7530</v>
      </c>
      <c r="E66" s="262">
        <v>16413</v>
      </c>
      <c r="F66" s="262">
        <v>38413</v>
      </c>
      <c r="G66" s="262">
        <v>100963</v>
      </c>
      <c r="H66" s="262">
        <v>160599</v>
      </c>
      <c r="I66" s="262">
        <v>189024</v>
      </c>
      <c r="J66" s="262">
        <v>323268</v>
      </c>
      <c r="K66" s="262">
        <v>339759</v>
      </c>
      <c r="L66" s="262">
        <v>385398</v>
      </c>
      <c r="M66" s="262">
        <v>386158</v>
      </c>
      <c r="N66" s="262">
        <v>393862</v>
      </c>
      <c r="O66" s="262">
        <v>283513</v>
      </c>
      <c r="P66" s="262">
        <v>280288</v>
      </c>
      <c r="Q66" s="262">
        <v>139949</v>
      </c>
      <c r="R66" s="262">
        <v>139124</v>
      </c>
      <c r="S66" s="262">
        <v>135211</v>
      </c>
      <c r="T66" s="262">
        <v>143714</v>
      </c>
      <c r="U66" s="262">
        <v>138041</v>
      </c>
      <c r="V66" s="262">
        <v>72925</v>
      </c>
      <c r="W66" s="262">
        <v>75155</v>
      </c>
      <c r="X66" s="262">
        <v>57364</v>
      </c>
      <c r="Y66" s="262">
        <v>60659</v>
      </c>
      <c r="Z66" s="262">
        <v>69949</v>
      </c>
      <c r="AA66" s="262">
        <v>58834</v>
      </c>
      <c r="AB66" s="262">
        <v>48051</v>
      </c>
      <c r="AC66" s="262">
        <v>48938</v>
      </c>
      <c r="AD66" s="262">
        <v>44234</v>
      </c>
      <c r="AE66" s="262">
        <v>78903</v>
      </c>
      <c r="AF66" s="262">
        <v>75661</v>
      </c>
      <c r="AG66" s="262">
        <v>68863</v>
      </c>
      <c r="AH66" s="262">
        <v>61286</v>
      </c>
      <c r="AI66" s="262">
        <v>58108</v>
      </c>
      <c r="AJ66" s="262">
        <v>60786</v>
      </c>
      <c r="AK66" s="262">
        <v>60338</v>
      </c>
      <c r="AL66" s="262">
        <v>45292</v>
      </c>
      <c r="AM66" s="262">
        <v>2581943</v>
      </c>
      <c r="AN66" s="262">
        <v>2522010</v>
      </c>
      <c r="AO66" s="262">
        <v>2775232</v>
      </c>
      <c r="AP66" s="262">
        <v>3054590</v>
      </c>
      <c r="AQ66" s="262">
        <v>4205678</v>
      </c>
      <c r="AR66" s="262">
        <v>4184993</v>
      </c>
      <c r="AS66" s="262">
        <v>4083757</v>
      </c>
      <c r="AT66" s="262">
        <v>3728849</v>
      </c>
      <c r="AU66" s="262">
        <v>3797797</v>
      </c>
      <c r="AV66" s="262">
        <v>3755678</v>
      </c>
      <c r="AW66" s="262">
        <v>3954371</v>
      </c>
      <c r="AX66" s="262">
        <v>3974912</v>
      </c>
      <c r="AY66" s="262">
        <v>3885005</v>
      </c>
      <c r="AZ66" s="262">
        <v>4503345</v>
      </c>
      <c r="BA66" s="262">
        <v>5142861</v>
      </c>
      <c r="BB66" s="262">
        <v>6136179</v>
      </c>
      <c r="BC66" s="262">
        <v>8618891</v>
      </c>
      <c r="BD66" s="262">
        <v>9348608</v>
      </c>
      <c r="BE66" s="262">
        <v>10653010</v>
      </c>
      <c r="BF66" s="262">
        <v>11469479</v>
      </c>
    </row>
    <row r="67" spans="1:58" x14ac:dyDescent="0.3">
      <c r="A67" s="263" t="s">
        <v>844</v>
      </c>
      <c r="B67" s="264" t="s">
        <v>792</v>
      </c>
      <c r="C67" s="264" t="s">
        <v>792</v>
      </c>
      <c r="D67" s="264" t="s">
        <v>792</v>
      </c>
      <c r="E67" s="264" t="s">
        <v>792</v>
      </c>
      <c r="F67" s="264" t="s">
        <v>792</v>
      </c>
      <c r="G67" s="264" t="s">
        <v>792</v>
      </c>
      <c r="H67" s="264" t="s">
        <v>792</v>
      </c>
      <c r="I67" s="264" t="s">
        <v>792</v>
      </c>
      <c r="J67" s="264" t="s">
        <v>792</v>
      </c>
      <c r="K67" s="264" t="s">
        <v>792</v>
      </c>
      <c r="L67" s="264" t="s">
        <v>792</v>
      </c>
      <c r="M67" s="264" t="s">
        <v>792</v>
      </c>
      <c r="N67" s="264" t="s">
        <v>792</v>
      </c>
      <c r="O67" s="264" t="s">
        <v>792</v>
      </c>
      <c r="P67" s="264" t="s">
        <v>792</v>
      </c>
      <c r="Q67" s="264" t="s">
        <v>792</v>
      </c>
      <c r="R67" s="259">
        <v>139124</v>
      </c>
      <c r="S67" s="259">
        <v>135211</v>
      </c>
      <c r="T67" s="259">
        <v>143714</v>
      </c>
      <c r="U67" s="259">
        <v>138041</v>
      </c>
      <c r="V67" s="259">
        <v>72925</v>
      </c>
      <c r="W67" s="259">
        <v>75155</v>
      </c>
      <c r="X67" s="259">
        <v>57364</v>
      </c>
      <c r="Y67" s="259">
        <v>60659</v>
      </c>
      <c r="Z67" s="259">
        <v>69949</v>
      </c>
      <c r="AA67" s="259">
        <v>58834</v>
      </c>
      <c r="AB67" s="259">
        <v>48051</v>
      </c>
      <c r="AC67" s="259">
        <v>48938</v>
      </c>
      <c r="AD67" s="259">
        <v>44234</v>
      </c>
      <c r="AE67" s="259">
        <v>78903</v>
      </c>
      <c r="AF67" s="259">
        <v>75661</v>
      </c>
      <c r="AG67" s="259">
        <v>68863</v>
      </c>
      <c r="AH67" s="259">
        <v>61286</v>
      </c>
      <c r="AI67" s="259">
        <v>58108</v>
      </c>
      <c r="AJ67" s="259">
        <v>57103</v>
      </c>
      <c r="AK67" s="259">
        <v>60338</v>
      </c>
      <c r="AL67" s="259">
        <v>45292</v>
      </c>
      <c r="AM67" s="259">
        <v>1443920</v>
      </c>
      <c r="AN67" s="259">
        <v>1602344</v>
      </c>
      <c r="AO67" s="259">
        <v>1634971</v>
      </c>
      <c r="AP67" s="259">
        <v>2241136</v>
      </c>
      <c r="AQ67" s="259">
        <v>2623152</v>
      </c>
      <c r="AR67" s="259">
        <v>3419216</v>
      </c>
      <c r="AS67" s="259">
        <v>3363841</v>
      </c>
      <c r="AT67" s="259">
        <v>2974633</v>
      </c>
      <c r="AU67" s="259">
        <v>2948713</v>
      </c>
      <c r="AV67" s="259">
        <v>2821995</v>
      </c>
      <c r="AW67" s="259">
        <v>3076789</v>
      </c>
      <c r="AX67" s="259">
        <v>3047800</v>
      </c>
      <c r="AY67" s="259">
        <v>2620382</v>
      </c>
      <c r="AZ67" s="259">
        <v>3575116</v>
      </c>
      <c r="BA67" s="259">
        <v>2648120</v>
      </c>
      <c r="BB67" s="259">
        <v>3328488</v>
      </c>
      <c r="BC67" s="259">
        <v>7089189</v>
      </c>
      <c r="BD67" s="259">
        <v>4731917</v>
      </c>
      <c r="BE67" s="259">
        <v>5112637</v>
      </c>
      <c r="BF67" s="259">
        <v>5635846</v>
      </c>
    </row>
    <row r="68" spans="1:58" x14ac:dyDescent="0.3">
      <c r="A68" s="263" t="s">
        <v>845</v>
      </c>
      <c r="B68" s="264" t="s">
        <v>792</v>
      </c>
      <c r="C68" s="264" t="s">
        <v>792</v>
      </c>
      <c r="D68" s="264" t="s">
        <v>792</v>
      </c>
      <c r="E68" s="264" t="s">
        <v>792</v>
      </c>
      <c r="F68" s="264" t="s">
        <v>792</v>
      </c>
      <c r="G68" s="264" t="s">
        <v>792</v>
      </c>
      <c r="H68" s="264" t="s">
        <v>792</v>
      </c>
      <c r="I68" s="264" t="s">
        <v>792</v>
      </c>
      <c r="J68" s="264" t="s">
        <v>792</v>
      </c>
      <c r="K68" s="264" t="s">
        <v>792</v>
      </c>
      <c r="L68" s="264" t="s">
        <v>792</v>
      </c>
      <c r="M68" s="264" t="s">
        <v>792</v>
      </c>
      <c r="N68" s="264" t="s">
        <v>792</v>
      </c>
      <c r="O68" s="264" t="s">
        <v>792</v>
      </c>
      <c r="P68" s="264" t="s">
        <v>792</v>
      </c>
      <c r="Q68" s="264" t="s">
        <v>792</v>
      </c>
      <c r="R68" s="259">
        <v>0</v>
      </c>
      <c r="S68" s="259">
        <v>0</v>
      </c>
      <c r="T68" s="259">
        <v>0</v>
      </c>
      <c r="U68" s="259">
        <v>0</v>
      </c>
      <c r="V68" s="259">
        <v>0</v>
      </c>
      <c r="W68" s="259">
        <v>0</v>
      </c>
      <c r="X68" s="259">
        <v>0</v>
      </c>
      <c r="Y68" s="259">
        <v>0</v>
      </c>
      <c r="Z68" s="259">
        <v>0</v>
      </c>
      <c r="AA68" s="259">
        <v>0</v>
      </c>
      <c r="AB68" s="259">
        <v>0</v>
      </c>
      <c r="AC68" s="259">
        <v>0</v>
      </c>
      <c r="AD68" s="259">
        <v>0</v>
      </c>
      <c r="AE68" s="259">
        <v>0</v>
      </c>
      <c r="AF68" s="259">
        <v>0</v>
      </c>
      <c r="AG68" s="259">
        <v>0</v>
      </c>
      <c r="AH68" s="259">
        <v>0</v>
      </c>
      <c r="AI68" s="259">
        <v>0</v>
      </c>
      <c r="AJ68" s="259">
        <v>0</v>
      </c>
      <c r="AK68" s="259">
        <v>0</v>
      </c>
      <c r="AL68" s="259">
        <v>0</v>
      </c>
      <c r="AM68" s="259">
        <v>1138023</v>
      </c>
      <c r="AN68" s="259">
        <v>919666</v>
      </c>
      <c r="AO68" s="259">
        <v>890901</v>
      </c>
      <c r="AP68" s="259">
        <v>452067</v>
      </c>
      <c r="AQ68" s="259">
        <v>476732</v>
      </c>
      <c r="AR68" s="259">
        <v>438896</v>
      </c>
      <c r="AS68" s="259">
        <v>399885</v>
      </c>
      <c r="AT68" s="259">
        <v>369836</v>
      </c>
      <c r="AU68" s="259">
        <v>413532</v>
      </c>
      <c r="AV68" s="259">
        <v>311153</v>
      </c>
      <c r="AW68" s="259">
        <v>439419</v>
      </c>
      <c r="AX68" s="259">
        <v>425867</v>
      </c>
      <c r="AY68" s="259">
        <v>862424</v>
      </c>
      <c r="AZ68" s="259">
        <v>928229</v>
      </c>
      <c r="BA68" s="259">
        <v>1079063</v>
      </c>
      <c r="BB68" s="259">
        <v>1470973</v>
      </c>
      <c r="BC68" s="259">
        <v>1529702</v>
      </c>
      <c r="BD68" s="259">
        <v>1714785</v>
      </c>
      <c r="BE68" s="259">
        <v>2013218</v>
      </c>
      <c r="BF68" s="259">
        <v>2044361</v>
      </c>
    </row>
    <row r="69" spans="1:58" x14ac:dyDescent="0.3">
      <c r="A69" s="263" t="s">
        <v>846</v>
      </c>
      <c r="B69" s="264" t="s">
        <v>792</v>
      </c>
      <c r="C69" s="264" t="s">
        <v>792</v>
      </c>
      <c r="D69" s="264" t="s">
        <v>792</v>
      </c>
      <c r="E69" s="264" t="s">
        <v>792</v>
      </c>
      <c r="F69" s="264" t="s">
        <v>792</v>
      </c>
      <c r="G69" s="264" t="s">
        <v>792</v>
      </c>
      <c r="H69" s="264" t="s">
        <v>792</v>
      </c>
      <c r="I69" s="264" t="s">
        <v>792</v>
      </c>
      <c r="J69" s="264" t="s">
        <v>792</v>
      </c>
      <c r="K69" s="264" t="s">
        <v>792</v>
      </c>
      <c r="L69" s="264" t="s">
        <v>792</v>
      </c>
      <c r="M69" s="264" t="s">
        <v>792</v>
      </c>
      <c r="N69" s="264" t="s">
        <v>792</v>
      </c>
      <c r="O69" s="264" t="s">
        <v>792</v>
      </c>
      <c r="P69" s="264" t="s">
        <v>792</v>
      </c>
      <c r="Q69" s="264" t="s">
        <v>792</v>
      </c>
      <c r="R69" s="259">
        <v>0</v>
      </c>
      <c r="S69" s="259">
        <v>0</v>
      </c>
      <c r="T69" s="259">
        <v>0</v>
      </c>
      <c r="U69" s="259">
        <v>0</v>
      </c>
      <c r="V69" s="259">
        <v>0</v>
      </c>
      <c r="W69" s="259">
        <v>0</v>
      </c>
      <c r="X69" s="259">
        <v>0</v>
      </c>
      <c r="Y69" s="259">
        <v>0</v>
      </c>
      <c r="Z69" s="259">
        <v>0</v>
      </c>
      <c r="AA69" s="259">
        <v>0</v>
      </c>
      <c r="AB69" s="259">
        <v>0</v>
      </c>
      <c r="AC69" s="259">
        <v>0</v>
      </c>
      <c r="AD69" s="259">
        <v>0</v>
      </c>
      <c r="AE69" s="259">
        <v>0</v>
      </c>
      <c r="AF69" s="259">
        <v>0</v>
      </c>
      <c r="AG69" s="259">
        <v>0</v>
      </c>
      <c r="AH69" s="259">
        <v>0</v>
      </c>
      <c r="AI69" s="259">
        <v>0</v>
      </c>
      <c r="AJ69" s="259">
        <v>3683</v>
      </c>
      <c r="AK69" s="259">
        <v>0</v>
      </c>
      <c r="AL69" s="259">
        <v>0</v>
      </c>
      <c r="AM69" s="259">
        <v>0</v>
      </c>
      <c r="AN69" s="259">
        <v>0</v>
      </c>
      <c r="AO69" s="259">
        <v>249360</v>
      </c>
      <c r="AP69" s="259">
        <v>361387</v>
      </c>
      <c r="AQ69" s="259">
        <v>1105794</v>
      </c>
      <c r="AR69" s="259">
        <v>326881</v>
      </c>
      <c r="AS69" s="259">
        <v>320031</v>
      </c>
      <c r="AT69" s="259">
        <v>384380</v>
      </c>
      <c r="AU69" s="259">
        <v>435552</v>
      </c>
      <c r="AV69" s="259">
        <v>622530</v>
      </c>
      <c r="AW69" s="259">
        <v>438163</v>
      </c>
      <c r="AX69" s="259">
        <v>501245</v>
      </c>
      <c r="AY69" s="259">
        <v>402199</v>
      </c>
      <c r="AZ69" s="259">
        <v>0</v>
      </c>
      <c r="BA69" s="259">
        <v>1415678</v>
      </c>
      <c r="BB69" s="259">
        <v>1336718</v>
      </c>
      <c r="BC69" s="259">
        <v>0</v>
      </c>
      <c r="BD69" s="259">
        <v>2901906</v>
      </c>
      <c r="BE69" s="259">
        <v>3527155</v>
      </c>
      <c r="BF69" s="259">
        <v>3789272</v>
      </c>
    </row>
    <row r="70" spans="1:58" x14ac:dyDescent="0.3">
      <c r="A70" s="260" t="s">
        <v>847</v>
      </c>
      <c r="B70" s="261" t="s">
        <v>792</v>
      </c>
      <c r="C70" s="261" t="s">
        <v>792</v>
      </c>
      <c r="D70" s="261" t="s">
        <v>792</v>
      </c>
      <c r="E70" s="261" t="s">
        <v>792</v>
      </c>
      <c r="F70" s="262">
        <v>173601</v>
      </c>
      <c r="G70" s="262">
        <v>251687</v>
      </c>
      <c r="H70" s="262">
        <v>1910990</v>
      </c>
      <c r="I70" s="262">
        <v>2088961</v>
      </c>
      <c r="J70" s="262">
        <v>2190842</v>
      </c>
      <c r="K70" s="262">
        <v>2323133</v>
      </c>
      <c r="L70" s="262">
        <v>2448457</v>
      </c>
      <c r="M70" s="262">
        <v>2534559</v>
      </c>
      <c r="N70" s="262">
        <v>2723411</v>
      </c>
      <c r="O70" s="262">
        <v>2837212</v>
      </c>
      <c r="P70" s="262">
        <v>2793132</v>
      </c>
      <c r="Q70" s="262">
        <v>2095530</v>
      </c>
      <c r="R70" s="262">
        <v>988315</v>
      </c>
      <c r="S70" s="262">
        <v>1200929</v>
      </c>
      <c r="T70" s="262">
        <v>1126125</v>
      </c>
      <c r="U70" s="262">
        <v>1143507</v>
      </c>
      <c r="V70" s="262">
        <v>176951</v>
      </c>
      <c r="W70" s="262">
        <v>239702</v>
      </c>
      <c r="X70" s="262">
        <v>213268</v>
      </c>
      <c r="Y70" s="262">
        <v>248889</v>
      </c>
      <c r="Z70" s="262">
        <v>161766</v>
      </c>
      <c r="AA70" s="262">
        <v>171789</v>
      </c>
      <c r="AB70" s="262">
        <v>188598</v>
      </c>
      <c r="AC70" s="262">
        <v>199804</v>
      </c>
      <c r="AD70" s="262">
        <v>182583</v>
      </c>
      <c r="AE70" s="262">
        <v>303854</v>
      </c>
      <c r="AF70" s="262">
        <v>292139</v>
      </c>
      <c r="AG70" s="262">
        <v>276548</v>
      </c>
      <c r="AH70" s="262">
        <v>260548</v>
      </c>
      <c r="AI70" s="262">
        <v>261239</v>
      </c>
      <c r="AJ70" s="262">
        <v>309432</v>
      </c>
      <c r="AK70" s="262">
        <v>346504</v>
      </c>
      <c r="AL70" s="262">
        <v>385943</v>
      </c>
      <c r="AM70" s="262">
        <v>1003370</v>
      </c>
      <c r="AN70" s="262">
        <v>756788</v>
      </c>
      <c r="AO70" s="262">
        <v>608776</v>
      </c>
      <c r="AP70" s="262">
        <v>689529</v>
      </c>
      <c r="AQ70" s="262">
        <v>809886</v>
      </c>
      <c r="AR70" s="262">
        <v>811048</v>
      </c>
      <c r="AS70" s="262">
        <v>1090455</v>
      </c>
      <c r="AT70" s="262">
        <v>956866</v>
      </c>
      <c r="AU70" s="262">
        <v>1127624</v>
      </c>
      <c r="AV70" s="262">
        <v>1016015</v>
      </c>
      <c r="AW70" s="262">
        <v>1788163</v>
      </c>
      <c r="AX70" s="262">
        <v>1742326</v>
      </c>
      <c r="AY70" s="262">
        <v>1471723</v>
      </c>
      <c r="AZ70" s="262">
        <v>3092047</v>
      </c>
      <c r="BA70" s="262">
        <v>3133222</v>
      </c>
      <c r="BB70" s="262">
        <v>2833955</v>
      </c>
      <c r="BC70" s="262">
        <v>12437080</v>
      </c>
      <c r="BD70" s="262">
        <v>12087324</v>
      </c>
      <c r="BE70" s="262">
        <v>12224017</v>
      </c>
      <c r="BF70" s="262">
        <v>10914878</v>
      </c>
    </row>
    <row r="71" spans="1:58" x14ac:dyDescent="0.3">
      <c r="A71" s="263" t="s">
        <v>848</v>
      </c>
      <c r="B71" s="264" t="s">
        <v>792</v>
      </c>
      <c r="C71" s="264" t="s">
        <v>792</v>
      </c>
      <c r="D71" s="264" t="s">
        <v>792</v>
      </c>
      <c r="E71" s="264" t="s">
        <v>792</v>
      </c>
      <c r="F71" s="259">
        <v>173601</v>
      </c>
      <c r="G71" s="264" t="s">
        <v>792</v>
      </c>
      <c r="H71" s="264" t="s">
        <v>792</v>
      </c>
      <c r="I71" s="264" t="s">
        <v>792</v>
      </c>
      <c r="J71" s="264" t="s">
        <v>792</v>
      </c>
      <c r="K71" s="264" t="s">
        <v>792</v>
      </c>
      <c r="L71" s="264" t="s">
        <v>792</v>
      </c>
      <c r="M71" s="264" t="s">
        <v>792</v>
      </c>
      <c r="N71" s="264" t="s">
        <v>792</v>
      </c>
      <c r="O71" s="264" t="s">
        <v>792</v>
      </c>
      <c r="P71" s="264" t="s">
        <v>792</v>
      </c>
      <c r="Q71" s="264" t="s">
        <v>792</v>
      </c>
      <c r="R71" s="259">
        <v>988315</v>
      </c>
      <c r="S71" s="259">
        <v>1200929</v>
      </c>
      <c r="T71" s="259">
        <v>1126125</v>
      </c>
      <c r="U71" s="259">
        <v>1143507</v>
      </c>
      <c r="V71" s="259">
        <v>176951</v>
      </c>
      <c r="W71" s="259">
        <v>239702</v>
      </c>
      <c r="X71" s="259">
        <v>213268</v>
      </c>
      <c r="Y71" s="259">
        <v>248889</v>
      </c>
      <c r="Z71" s="259">
        <v>161766</v>
      </c>
      <c r="AA71" s="259">
        <v>171789</v>
      </c>
      <c r="AB71" s="259">
        <v>188598</v>
      </c>
      <c r="AC71" s="259">
        <v>199804</v>
      </c>
      <c r="AD71" s="259">
        <v>182583</v>
      </c>
      <c r="AE71" s="259">
        <v>303854</v>
      </c>
      <c r="AF71" s="259">
        <v>292139</v>
      </c>
      <c r="AG71" s="259">
        <v>276548</v>
      </c>
      <c r="AH71" s="259">
        <v>260548</v>
      </c>
      <c r="AI71" s="259">
        <v>261239</v>
      </c>
      <c r="AJ71" s="259">
        <v>289655</v>
      </c>
      <c r="AK71" s="259">
        <v>326727</v>
      </c>
      <c r="AL71" s="259">
        <v>385943</v>
      </c>
      <c r="AM71" s="259">
        <v>1003370</v>
      </c>
      <c r="AN71" s="259">
        <v>756788</v>
      </c>
      <c r="AO71" s="259">
        <v>608776</v>
      </c>
      <c r="AP71" s="259">
        <v>689529</v>
      </c>
      <c r="AQ71" s="259">
        <v>809886</v>
      </c>
      <c r="AR71" s="259">
        <v>811048</v>
      </c>
      <c r="AS71" s="259">
        <v>1090455</v>
      </c>
      <c r="AT71" s="259">
        <v>956866</v>
      </c>
      <c r="AU71" s="259">
        <v>1127624</v>
      </c>
      <c r="AV71" s="259">
        <v>1016015</v>
      </c>
      <c r="AW71" s="259">
        <v>1788163</v>
      </c>
      <c r="AX71" s="259">
        <v>1742326</v>
      </c>
      <c r="AY71" s="259">
        <v>1471723</v>
      </c>
      <c r="AZ71" s="259">
        <v>3092047</v>
      </c>
      <c r="BA71" s="259">
        <v>3133222</v>
      </c>
      <c r="BB71" s="259">
        <v>2833955</v>
      </c>
      <c r="BC71" s="259">
        <v>12437080</v>
      </c>
      <c r="BD71" s="259">
        <v>12087324</v>
      </c>
      <c r="BE71" s="259">
        <v>12224017</v>
      </c>
      <c r="BF71" s="259">
        <v>10914878</v>
      </c>
    </row>
    <row r="72" spans="1:58" x14ac:dyDescent="0.3">
      <c r="A72" s="265" t="s">
        <v>849</v>
      </c>
      <c r="B72" s="256" t="s">
        <v>792</v>
      </c>
      <c r="C72" s="256" t="s">
        <v>792</v>
      </c>
      <c r="D72" s="256" t="s">
        <v>792</v>
      </c>
      <c r="E72" s="256" t="s">
        <v>792</v>
      </c>
      <c r="F72" s="256" t="s">
        <v>792</v>
      </c>
      <c r="G72" s="256" t="s">
        <v>792</v>
      </c>
      <c r="H72" s="256" t="s">
        <v>792</v>
      </c>
      <c r="I72" s="256" t="s">
        <v>792</v>
      </c>
      <c r="J72" s="256" t="s">
        <v>792</v>
      </c>
      <c r="K72" s="256" t="s">
        <v>792</v>
      </c>
      <c r="L72" s="256" t="s">
        <v>792</v>
      </c>
      <c r="M72" s="256" t="s">
        <v>792</v>
      </c>
      <c r="N72" s="256" t="s">
        <v>792</v>
      </c>
      <c r="O72" s="256" t="s">
        <v>792</v>
      </c>
      <c r="P72" s="256" t="s">
        <v>792</v>
      </c>
      <c r="Q72" s="256" t="s">
        <v>792</v>
      </c>
      <c r="R72" s="257">
        <v>988315</v>
      </c>
      <c r="S72" s="257">
        <v>1200929</v>
      </c>
      <c r="T72" s="257">
        <v>1126125</v>
      </c>
      <c r="U72" s="257">
        <v>1143507</v>
      </c>
      <c r="V72" s="257">
        <v>176951</v>
      </c>
      <c r="W72" s="257">
        <v>151803</v>
      </c>
      <c r="X72" s="257">
        <v>127054</v>
      </c>
      <c r="Y72" s="257">
        <v>109837</v>
      </c>
      <c r="Z72" s="257">
        <v>161766</v>
      </c>
      <c r="AA72" s="257">
        <v>171789</v>
      </c>
      <c r="AB72" s="257">
        <v>188598</v>
      </c>
      <c r="AC72" s="257">
        <v>199804</v>
      </c>
      <c r="AD72" s="257">
        <v>182583</v>
      </c>
      <c r="AE72" s="257">
        <v>303854</v>
      </c>
      <c r="AF72" s="257">
        <v>292139</v>
      </c>
      <c r="AG72" s="257">
        <v>276548</v>
      </c>
      <c r="AH72" s="257">
        <v>260548</v>
      </c>
      <c r="AI72" s="257">
        <v>261239</v>
      </c>
      <c r="AJ72" s="257">
        <v>289655</v>
      </c>
      <c r="AK72" s="257">
        <v>326727</v>
      </c>
      <c r="AL72" s="257">
        <v>385943</v>
      </c>
      <c r="AM72" s="257">
        <v>1003370</v>
      </c>
      <c r="AN72" s="257">
        <v>756788</v>
      </c>
      <c r="AO72" s="257">
        <v>608776</v>
      </c>
      <c r="AP72" s="257">
        <v>689529</v>
      </c>
      <c r="AQ72" s="257">
        <v>809612</v>
      </c>
      <c r="AR72" s="257">
        <v>811048</v>
      </c>
      <c r="AS72" s="257">
        <v>1067834</v>
      </c>
      <c r="AT72" s="257">
        <v>956866</v>
      </c>
      <c r="AU72" s="257">
        <v>1127624</v>
      </c>
      <c r="AV72" s="257">
        <v>1016015</v>
      </c>
      <c r="AW72" s="257">
        <v>1779130</v>
      </c>
      <c r="AX72" s="257">
        <v>1742326</v>
      </c>
      <c r="AY72" s="257">
        <v>1471723</v>
      </c>
      <c r="AZ72" s="257">
        <v>3092047</v>
      </c>
      <c r="BA72" s="257">
        <v>3133222</v>
      </c>
      <c r="BB72" s="257">
        <v>2833955</v>
      </c>
      <c r="BC72" s="257">
        <v>12437080</v>
      </c>
      <c r="BD72" s="257">
        <v>12087324</v>
      </c>
      <c r="BE72" s="257">
        <v>12224017</v>
      </c>
      <c r="BF72" s="257">
        <v>10914878</v>
      </c>
    </row>
    <row r="73" spans="1:58" x14ac:dyDescent="0.3">
      <c r="A73" s="265" t="s">
        <v>798</v>
      </c>
      <c r="B73" s="256" t="s">
        <v>792</v>
      </c>
      <c r="C73" s="256" t="s">
        <v>792</v>
      </c>
      <c r="D73" s="256" t="s">
        <v>792</v>
      </c>
      <c r="E73" s="256" t="s">
        <v>792</v>
      </c>
      <c r="F73" s="256" t="s">
        <v>792</v>
      </c>
      <c r="G73" s="256" t="s">
        <v>792</v>
      </c>
      <c r="H73" s="256" t="s">
        <v>792</v>
      </c>
      <c r="I73" s="256" t="s">
        <v>792</v>
      </c>
      <c r="J73" s="256" t="s">
        <v>792</v>
      </c>
      <c r="K73" s="256" t="s">
        <v>792</v>
      </c>
      <c r="L73" s="256" t="s">
        <v>792</v>
      </c>
      <c r="M73" s="256" t="s">
        <v>792</v>
      </c>
      <c r="N73" s="256" t="s">
        <v>792</v>
      </c>
      <c r="O73" s="256" t="s">
        <v>792</v>
      </c>
      <c r="P73" s="256" t="s">
        <v>792</v>
      </c>
      <c r="Q73" s="256" t="s">
        <v>792</v>
      </c>
      <c r="R73" s="257">
        <v>0</v>
      </c>
      <c r="S73" s="257">
        <v>0</v>
      </c>
      <c r="T73" s="257">
        <v>0</v>
      </c>
      <c r="U73" s="257">
        <v>0</v>
      </c>
      <c r="V73" s="257">
        <v>0</v>
      </c>
      <c r="W73" s="257">
        <v>87899</v>
      </c>
      <c r="X73" s="257">
        <v>86214</v>
      </c>
      <c r="Y73" s="257">
        <v>139052</v>
      </c>
      <c r="Z73" s="257">
        <v>0</v>
      </c>
      <c r="AA73" s="257">
        <v>0</v>
      </c>
      <c r="AB73" s="257">
        <v>0</v>
      </c>
      <c r="AC73" s="257">
        <v>0</v>
      </c>
      <c r="AD73" s="257">
        <v>0</v>
      </c>
      <c r="AE73" s="257">
        <v>0</v>
      </c>
      <c r="AF73" s="257">
        <v>0</v>
      </c>
      <c r="AG73" s="257">
        <v>0</v>
      </c>
      <c r="AH73" s="257">
        <v>0</v>
      </c>
      <c r="AI73" s="257">
        <v>0</v>
      </c>
      <c r="AJ73" s="257">
        <v>0</v>
      </c>
      <c r="AK73" s="257">
        <v>0</v>
      </c>
      <c r="AL73" s="257">
        <v>0</v>
      </c>
      <c r="AM73" s="257">
        <v>0</v>
      </c>
      <c r="AN73" s="257">
        <v>0</v>
      </c>
      <c r="AO73" s="257">
        <v>0</v>
      </c>
      <c r="AP73" s="257">
        <v>0</v>
      </c>
      <c r="AQ73" s="257">
        <v>274</v>
      </c>
      <c r="AR73" s="257">
        <v>0</v>
      </c>
      <c r="AS73" s="257">
        <v>22621</v>
      </c>
      <c r="AT73" s="257">
        <v>0</v>
      </c>
      <c r="AU73" s="257">
        <v>0</v>
      </c>
      <c r="AV73" s="257">
        <v>0</v>
      </c>
      <c r="AW73" s="257">
        <v>9033</v>
      </c>
      <c r="AX73" s="257">
        <v>0</v>
      </c>
      <c r="AY73" s="257">
        <v>0</v>
      </c>
      <c r="AZ73" s="257">
        <v>0</v>
      </c>
      <c r="BA73" s="257">
        <v>0</v>
      </c>
      <c r="BB73" s="257">
        <v>0</v>
      </c>
      <c r="BC73" s="257">
        <v>0</v>
      </c>
      <c r="BD73" s="257">
        <v>0</v>
      </c>
      <c r="BE73" s="257">
        <v>0</v>
      </c>
      <c r="BF73" s="257">
        <v>0</v>
      </c>
    </row>
    <row r="74" spans="1:58" x14ac:dyDescent="0.3">
      <c r="A74" s="263" t="s">
        <v>850</v>
      </c>
      <c r="B74" s="264" t="s">
        <v>792</v>
      </c>
      <c r="C74" s="264" t="s">
        <v>792</v>
      </c>
      <c r="D74" s="264" t="s">
        <v>792</v>
      </c>
      <c r="E74" s="264" t="s">
        <v>792</v>
      </c>
      <c r="F74" s="259">
        <v>0</v>
      </c>
      <c r="G74" s="264" t="s">
        <v>792</v>
      </c>
      <c r="H74" s="264" t="s">
        <v>792</v>
      </c>
      <c r="I74" s="264" t="s">
        <v>792</v>
      </c>
      <c r="J74" s="264" t="s">
        <v>792</v>
      </c>
      <c r="K74" s="264" t="s">
        <v>792</v>
      </c>
      <c r="L74" s="264" t="s">
        <v>792</v>
      </c>
      <c r="M74" s="264" t="s">
        <v>792</v>
      </c>
      <c r="N74" s="264" t="s">
        <v>792</v>
      </c>
      <c r="O74" s="264" t="s">
        <v>792</v>
      </c>
      <c r="P74" s="264" t="s">
        <v>792</v>
      </c>
      <c r="Q74" s="264" t="s">
        <v>792</v>
      </c>
      <c r="R74" s="259">
        <v>0</v>
      </c>
      <c r="S74" s="259">
        <v>0</v>
      </c>
      <c r="T74" s="259">
        <v>0</v>
      </c>
      <c r="U74" s="259">
        <v>0</v>
      </c>
      <c r="V74" s="259">
        <v>0</v>
      </c>
      <c r="W74" s="259">
        <v>0</v>
      </c>
      <c r="X74" s="259">
        <v>0</v>
      </c>
      <c r="Y74" s="259">
        <v>0</v>
      </c>
      <c r="Z74" s="259">
        <v>0</v>
      </c>
      <c r="AA74" s="259">
        <v>0</v>
      </c>
      <c r="AB74" s="259">
        <v>0</v>
      </c>
      <c r="AC74" s="259">
        <v>0</v>
      </c>
      <c r="AD74" s="259">
        <v>0</v>
      </c>
      <c r="AE74" s="259">
        <v>0</v>
      </c>
      <c r="AF74" s="259">
        <v>0</v>
      </c>
      <c r="AG74" s="259">
        <v>0</v>
      </c>
      <c r="AH74" s="259">
        <v>0</v>
      </c>
      <c r="AI74" s="259">
        <v>0</v>
      </c>
      <c r="AJ74" s="259">
        <v>19777</v>
      </c>
      <c r="AK74" s="259">
        <v>19777</v>
      </c>
      <c r="AL74" s="259">
        <v>0</v>
      </c>
      <c r="AM74" s="259">
        <v>0</v>
      </c>
      <c r="AN74" s="259">
        <v>0</v>
      </c>
      <c r="AO74" s="259">
        <v>0</v>
      </c>
      <c r="AP74" s="259">
        <v>0</v>
      </c>
      <c r="AQ74" s="259">
        <v>0</v>
      </c>
      <c r="AR74" s="259">
        <v>0</v>
      </c>
      <c r="AS74" s="259">
        <v>0</v>
      </c>
      <c r="AT74" s="259">
        <v>0</v>
      </c>
      <c r="AU74" s="259">
        <v>0</v>
      </c>
      <c r="AV74" s="259">
        <v>0</v>
      </c>
      <c r="AW74" s="259">
        <v>0</v>
      </c>
      <c r="AX74" s="259">
        <v>0</v>
      </c>
      <c r="AY74" s="259">
        <v>0</v>
      </c>
      <c r="AZ74" s="259">
        <v>0</v>
      </c>
      <c r="BA74" s="259">
        <v>0</v>
      </c>
      <c r="BB74" s="259">
        <v>0</v>
      </c>
      <c r="BC74" s="259">
        <v>0</v>
      </c>
      <c r="BD74" s="259">
        <v>0</v>
      </c>
      <c r="BE74" s="259">
        <v>0</v>
      </c>
      <c r="BF74" s="259">
        <v>0</v>
      </c>
    </row>
    <row r="75" spans="1:58" x14ac:dyDescent="0.3">
      <c r="A75" s="255"/>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row>
    <row r="76" spans="1:58" x14ac:dyDescent="0.3">
      <c r="A76" s="255" t="s">
        <v>851</v>
      </c>
      <c r="B76" s="256" t="s">
        <v>5</v>
      </c>
      <c r="C76" s="256" t="s">
        <v>5</v>
      </c>
      <c r="D76" s="256" t="s">
        <v>5</v>
      </c>
      <c r="E76" s="256" t="s">
        <v>5</v>
      </c>
      <c r="F76" s="256" t="s">
        <v>5</v>
      </c>
      <c r="G76" s="256" t="s">
        <v>5</v>
      </c>
      <c r="H76" s="256" t="s">
        <v>5</v>
      </c>
      <c r="I76" s="256" t="s">
        <v>5</v>
      </c>
      <c r="J76" s="256" t="s">
        <v>5</v>
      </c>
      <c r="K76" s="256" t="s">
        <v>5</v>
      </c>
      <c r="L76" s="256" t="s">
        <v>5</v>
      </c>
      <c r="M76" s="256" t="s">
        <v>5</v>
      </c>
      <c r="N76" s="256" t="s">
        <v>5</v>
      </c>
      <c r="O76" s="256" t="s">
        <v>5</v>
      </c>
      <c r="P76" s="256" t="s">
        <v>5</v>
      </c>
      <c r="Q76" s="256" t="s">
        <v>5</v>
      </c>
      <c r="R76" s="256" t="s">
        <v>5</v>
      </c>
      <c r="S76" s="256" t="s">
        <v>5</v>
      </c>
      <c r="T76" s="256" t="s">
        <v>5</v>
      </c>
      <c r="U76" s="256" t="s">
        <v>5</v>
      </c>
      <c r="V76" s="256" t="s">
        <v>5</v>
      </c>
      <c r="W76" s="256" t="s">
        <v>5</v>
      </c>
      <c r="X76" s="256" t="s">
        <v>5</v>
      </c>
      <c r="Y76" s="256" t="s">
        <v>5</v>
      </c>
      <c r="Z76" s="256" t="s">
        <v>5</v>
      </c>
      <c r="AA76" s="256" t="s">
        <v>5</v>
      </c>
      <c r="AB76" s="256" t="s">
        <v>5</v>
      </c>
      <c r="AC76" s="256" t="s">
        <v>5</v>
      </c>
      <c r="AD76" s="256" t="s">
        <v>5</v>
      </c>
      <c r="AE76" s="256" t="s">
        <v>5</v>
      </c>
      <c r="AF76" s="256" t="s">
        <v>5</v>
      </c>
      <c r="AG76" s="256" t="s">
        <v>5</v>
      </c>
      <c r="AH76" s="256" t="s">
        <v>5</v>
      </c>
      <c r="AI76" s="256" t="s">
        <v>5</v>
      </c>
      <c r="AJ76" s="256" t="s">
        <v>5</v>
      </c>
      <c r="AK76" s="256" t="s">
        <v>5</v>
      </c>
      <c r="AL76" s="256" t="s">
        <v>5</v>
      </c>
      <c r="AM76" s="256" t="s">
        <v>5</v>
      </c>
      <c r="AN76" s="256" t="s">
        <v>5</v>
      </c>
      <c r="AO76" s="256" t="s">
        <v>5</v>
      </c>
      <c r="AP76" s="256" t="s">
        <v>5</v>
      </c>
      <c r="AQ76" s="256" t="s">
        <v>5</v>
      </c>
      <c r="AR76" s="256" t="s">
        <v>5</v>
      </c>
      <c r="AS76" s="256" t="s">
        <v>5</v>
      </c>
      <c r="AT76" s="256" t="s">
        <v>5</v>
      </c>
      <c r="AU76" s="256" t="s">
        <v>5</v>
      </c>
      <c r="AV76" s="256" t="s">
        <v>5</v>
      </c>
      <c r="AW76" s="256" t="s">
        <v>5</v>
      </c>
      <c r="AX76" s="256" t="s">
        <v>5</v>
      </c>
      <c r="AY76" s="256" t="s">
        <v>5</v>
      </c>
      <c r="AZ76" s="256" t="s">
        <v>5</v>
      </c>
      <c r="BA76" s="256" t="s">
        <v>5</v>
      </c>
      <c r="BB76" s="256" t="s">
        <v>5</v>
      </c>
      <c r="BC76" s="256" t="s">
        <v>5</v>
      </c>
      <c r="BD76" s="256" t="s">
        <v>5</v>
      </c>
      <c r="BE76" s="256" t="s">
        <v>5</v>
      </c>
      <c r="BF76" s="256" t="s">
        <v>5</v>
      </c>
    </row>
    <row r="77" spans="1:58" x14ac:dyDescent="0.3">
      <c r="A77" s="255" t="s">
        <v>852</v>
      </c>
      <c r="B77" s="257">
        <v>417861</v>
      </c>
      <c r="C77" s="257">
        <v>402826</v>
      </c>
      <c r="D77" s="257">
        <v>422430</v>
      </c>
      <c r="E77" s="257">
        <v>396183</v>
      </c>
      <c r="F77" s="257">
        <v>2695652</v>
      </c>
      <c r="G77" s="257">
        <v>2708775</v>
      </c>
      <c r="H77" s="257">
        <v>4379278</v>
      </c>
      <c r="I77" s="257">
        <v>4422095</v>
      </c>
      <c r="J77" s="257">
        <v>5390091</v>
      </c>
      <c r="K77" s="257">
        <v>5823076</v>
      </c>
      <c r="L77" s="257">
        <v>4366107</v>
      </c>
      <c r="M77" s="257">
        <v>4246531</v>
      </c>
      <c r="N77" s="257">
        <v>4256468</v>
      </c>
      <c r="O77" s="257">
        <v>4217434</v>
      </c>
      <c r="P77" s="257">
        <v>4179763</v>
      </c>
      <c r="Q77" s="257">
        <v>3171132</v>
      </c>
      <c r="R77" s="257">
        <v>1805279</v>
      </c>
      <c r="S77" s="257">
        <v>1942225</v>
      </c>
      <c r="T77" s="257">
        <v>1931284</v>
      </c>
      <c r="U77" s="257">
        <v>1981903</v>
      </c>
      <c r="V77" s="257">
        <v>1061138</v>
      </c>
      <c r="W77" s="257">
        <v>1133728</v>
      </c>
      <c r="X77" s="257">
        <v>1043268</v>
      </c>
      <c r="Y77" s="257">
        <v>1233805</v>
      </c>
      <c r="Z77" s="257">
        <v>1177037</v>
      </c>
      <c r="AA77" s="257">
        <v>1098993</v>
      </c>
      <c r="AB77" s="257">
        <v>998456</v>
      </c>
      <c r="AC77" s="257">
        <v>1087135</v>
      </c>
      <c r="AD77" s="257">
        <v>1082369</v>
      </c>
      <c r="AE77" s="257">
        <v>1400312</v>
      </c>
      <c r="AF77" s="257">
        <v>1379460</v>
      </c>
      <c r="AG77" s="257">
        <v>1377661</v>
      </c>
      <c r="AH77" s="257">
        <v>1251764</v>
      </c>
      <c r="AI77" s="257">
        <v>1228426</v>
      </c>
      <c r="AJ77" s="257">
        <v>1459604</v>
      </c>
      <c r="AK77" s="257">
        <v>1279999</v>
      </c>
      <c r="AL77" s="257">
        <v>1537063</v>
      </c>
      <c r="AM77" s="257">
        <v>4332603</v>
      </c>
      <c r="AN77" s="257">
        <v>4387144</v>
      </c>
      <c r="AO77" s="257">
        <v>4596221</v>
      </c>
      <c r="AP77" s="257">
        <v>5489751</v>
      </c>
      <c r="AQ77" s="257">
        <v>6984388</v>
      </c>
      <c r="AR77" s="257">
        <v>6660586</v>
      </c>
      <c r="AS77" s="257">
        <v>7055431</v>
      </c>
      <c r="AT77" s="257">
        <v>6792833</v>
      </c>
      <c r="AU77" s="257">
        <v>9341748</v>
      </c>
      <c r="AV77" s="257">
        <v>10504500</v>
      </c>
      <c r="AW77" s="257">
        <v>11445166</v>
      </c>
      <c r="AX77" s="257">
        <v>12221416</v>
      </c>
      <c r="AY77" s="257">
        <v>12862921</v>
      </c>
      <c r="AZ77" s="257">
        <v>16292271</v>
      </c>
      <c r="BA77" s="257">
        <v>19920152</v>
      </c>
      <c r="BB77" s="257">
        <v>20302520</v>
      </c>
      <c r="BC77" s="257">
        <v>25623115</v>
      </c>
      <c r="BD77" s="257">
        <v>25991952</v>
      </c>
      <c r="BE77" s="257">
        <v>28521683</v>
      </c>
      <c r="BF77" s="257">
        <v>28310932</v>
      </c>
    </row>
    <row r="78" spans="1:58" x14ac:dyDescent="0.3">
      <c r="A78" s="258" t="s">
        <v>853</v>
      </c>
      <c r="B78" s="259">
        <v>10995</v>
      </c>
      <c r="C78" s="259">
        <v>7262</v>
      </c>
      <c r="D78" s="259">
        <v>20110</v>
      </c>
      <c r="E78" s="259">
        <v>11689</v>
      </c>
      <c r="F78" s="259">
        <v>35195</v>
      </c>
      <c r="G78" s="259">
        <v>55725</v>
      </c>
      <c r="H78" s="259">
        <v>43197</v>
      </c>
      <c r="I78" s="259">
        <v>66323</v>
      </c>
      <c r="J78" s="259">
        <v>595510</v>
      </c>
      <c r="K78" s="259">
        <v>851816</v>
      </c>
      <c r="L78" s="259">
        <v>56635</v>
      </c>
      <c r="M78" s="259">
        <v>113571</v>
      </c>
      <c r="N78" s="259">
        <v>164006</v>
      </c>
      <c r="O78" s="259">
        <v>215770</v>
      </c>
      <c r="P78" s="259">
        <v>355847</v>
      </c>
      <c r="Q78" s="259">
        <v>379543</v>
      </c>
      <c r="R78" s="259">
        <v>223804</v>
      </c>
      <c r="S78" s="259">
        <v>224016</v>
      </c>
      <c r="T78" s="259">
        <v>248513</v>
      </c>
      <c r="U78" s="259">
        <v>231711</v>
      </c>
      <c r="V78" s="259">
        <v>168321</v>
      </c>
      <c r="W78" s="259">
        <v>200933</v>
      </c>
      <c r="X78" s="259">
        <v>124702</v>
      </c>
      <c r="Y78" s="259">
        <v>185703</v>
      </c>
      <c r="Z78" s="259">
        <v>85423</v>
      </c>
      <c r="AA78" s="259">
        <v>106178</v>
      </c>
      <c r="AB78" s="259">
        <v>74749</v>
      </c>
      <c r="AC78" s="259">
        <v>58346</v>
      </c>
      <c r="AD78" s="259">
        <v>79620</v>
      </c>
      <c r="AE78" s="259">
        <v>252578</v>
      </c>
      <c r="AF78" s="259">
        <v>261714</v>
      </c>
      <c r="AG78" s="259">
        <v>197824</v>
      </c>
      <c r="AH78" s="259">
        <v>216852</v>
      </c>
      <c r="AI78" s="259">
        <v>187516</v>
      </c>
      <c r="AJ78" s="259">
        <v>348923</v>
      </c>
      <c r="AK78" s="259">
        <v>167482</v>
      </c>
      <c r="AL78" s="259">
        <v>370986</v>
      </c>
      <c r="AM78" s="259">
        <v>922201</v>
      </c>
      <c r="AN78" s="259">
        <v>879977</v>
      </c>
      <c r="AO78" s="259">
        <v>1137572</v>
      </c>
      <c r="AP78" s="259">
        <v>1669783</v>
      </c>
      <c r="AQ78" s="259">
        <v>2322377</v>
      </c>
      <c r="AR78" s="259">
        <v>1907633</v>
      </c>
      <c r="AS78" s="259">
        <v>2050218</v>
      </c>
      <c r="AT78" s="259">
        <v>2149449</v>
      </c>
      <c r="AU78" s="259">
        <v>2354059</v>
      </c>
      <c r="AV78" s="259">
        <v>905094</v>
      </c>
      <c r="AW78" s="259">
        <v>1225154</v>
      </c>
      <c r="AX78" s="259">
        <v>1085997</v>
      </c>
      <c r="AY78" s="259">
        <v>904949</v>
      </c>
      <c r="AZ78" s="259">
        <v>972762</v>
      </c>
      <c r="BA78" s="259">
        <v>1422362</v>
      </c>
      <c r="BB78" s="259">
        <v>1387739</v>
      </c>
      <c r="BC78" s="259">
        <v>3177777</v>
      </c>
      <c r="BD78" s="259">
        <v>4067412</v>
      </c>
      <c r="BE78" s="259">
        <v>3857691</v>
      </c>
      <c r="BF78" s="259">
        <v>3463811</v>
      </c>
    </row>
    <row r="79" spans="1:58" x14ac:dyDescent="0.3">
      <c r="A79" s="260" t="s">
        <v>854</v>
      </c>
      <c r="B79" s="261" t="s">
        <v>792</v>
      </c>
      <c r="C79" s="261" t="s">
        <v>792</v>
      </c>
      <c r="D79" s="261" t="s">
        <v>792</v>
      </c>
      <c r="E79" s="261" t="s">
        <v>792</v>
      </c>
      <c r="F79" s="262">
        <v>3202</v>
      </c>
      <c r="G79" s="262">
        <v>5184</v>
      </c>
      <c r="H79" s="262">
        <v>7250</v>
      </c>
      <c r="I79" s="262">
        <v>10423</v>
      </c>
      <c r="J79" s="262">
        <v>9740</v>
      </c>
      <c r="K79" s="262">
        <v>5481</v>
      </c>
      <c r="L79" s="262">
        <v>10646</v>
      </c>
      <c r="M79" s="262">
        <v>11324</v>
      </c>
      <c r="N79" s="262">
        <v>20801</v>
      </c>
      <c r="O79" s="262">
        <v>14256</v>
      </c>
      <c r="P79" s="262">
        <v>22531</v>
      </c>
      <c r="Q79" s="262">
        <v>21591</v>
      </c>
      <c r="R79" s="262">
        <v>17669</v>
      </c>
      <c r="S79" s="262">
        <v>12451</v>
      </c>
      <c r="T79" s="262">
        <v>12539</v>
      </c>
      <c r="U79" s="262">
        <v>8909</v>
      </c>
      <c r="V79" s="262">
        <v>7439</v>
      </c>
      <c r="W79" s="262">
        <v>7231</v>
      </c>
      <c r="X79" s="262">
        <v>5918</v>
      </c>
      <c r="Y79" s="262">
        <v>5501</v>
      </c>
      <c r="Z79" s="262">
        <v>7373</v>
      </c>
      <c r="AA79" s="262">
        <v>7547</v>
      </c>
      <c r="AB79" s="262">
        <v>6239</v>
      </c>
      <c r="AC79" s="262">
        <v>5167</v>
      </c>
      <c r="AD79" s="262">
        <v>10151</v>
      </c>
      <c r="AE79" s="262">
        <v>6454</v>
      </c>
      <c r="AF79" s="262">
        <v>6429</v>
      </c>
      <c r="AG79" s="262">
        <v>3132</v>
      </c>
      <c r="AH79" s="262">
        <v>9979</v>
      </c>
      <c r="AI79" s="262">
        <v>7074</v>
      </c>
      <c r="AJ79" s="262">
        <v>7996</v>
      </c>
      <c r="AK79" s="262">
        <v>5192</v>
      </c>
      <c r="AL79" s="262">
        <v>14923</v>
      </c>
      <c r="AM79" s="262">
        <v>21691</v>
      </c>
      <c r="AN79" s="262">
        <v>32618</v>
      </c>
      <c r="AO79" s="262">
        <v>36108</v>
      </c>
      <c r="AP79" s="262">
        <v>39359</v>
      </c>
      <c r="AQ79" s="262">
        <v>40457</v>
      </c>
      <c r="AR79" s="262">
        <v>50663</v>
      </c>
      <c r="AS79" s="262">
        <v>58054</v>
      </c>
      <c r="AT79" s="262">
        <v>54857</v>
      </c>
      <c r="AU79" s="262">
        <v>41101</v>
      </c>
      <c r="AV79" s="262">
        <v>74923</v>
      </c>
      <c r="AW79" s="262">
        <v>105896</v>
      </c>
      <c r="AX79" s="262">
        <v>131475</v>
      </c>
      <c r="AY79" s="262">
        <v>111779</v>
      </c>
      <c r="AZ79" s="262">
        <v>127701</v>
      </c>
      <c r="BA79" s="262">
        <v>128626</v>
      </c>
      <c r="BB79" s="262">
        <v>138003</v>
      </c>
      <c r="BC79" s="262">
        <v>163959</v>
      </c>
      <c r="BD79" s="262">
        <v>180905</v>
      </c>
      <c r="BE79" s="262">
        <v>198965</v>
      </c>
      <c r="BF79" s="262">
        <v>266893</v>
      </c>
    </row>
    <row r="80" spans="1:58" x14ac:dyDescent="0.3">
      <c r="A80" s="263" t="s">
        <v>855</v>
      </c>
      <c r="B80" s="264" t="s">
        <v>792</v>
      </c>
      <c r="C80" s="264" t="s">
        <v>792</v>
      </c>
      <c r="D80" s="264" t="s">
        <v>792</v>
      </c>
      <c r="E80" s="264" t="s">
        <v>792</v>
      </c>
      <c r="F80" s="259">
        <v>0</v>
      </c>
      <c r="G80" s="264" t="s">
        <v>792</v>
      </c>
      <c r="H80" s="259">
        <v>0</v>
      </c>
      <c r="I80" s="264" t="s">
        <v>792</v>
      </c>
      <c r="J80" s="259">
        <v>0</v>
      </c>
      <c r="K80" s="259">
        <v>0</v>
      </c>
      <c r="L80" s="259">
        <v>0</v>
      </c>
      <c r="M80" s="259">
        <v>0</v>
      </c>
      <c r="N80" s="259">
        <v>0</v>
      </c>
      <c r="O80" s="264" t="s">
        <v>792</v>
      </c>
      <c r="P80" s="264" t="s">
        <v>792</v>
      </c>
      <c r="Q80" s="264" t="s">
        <v>792</v>
      </c>
      <c r="R80" s="259">
        <v>0</v>
      </c>
      <c r="S80" s="259">
        <v>0</v>
      </c>
      <c r="T80" s="259">
        <v>0</v>
      </c>
      <c r="U80" s="259">
        <v>0</v>
      </c>
      <c r="V80" s="259">
        <v>0</v>
      </c>
      <c r="W80" s="259">
        <v>0</v>
      </c>
      <c r="X80" s="259">
        <v>0</v>
      </c>
      <c r="Y80" s="259">
        <v>0</v>
      </c>
      <c r="Z80" s="259">
        <v>0</v>
      </c>
      <c r="AA80" s="259">
        <v>0</v>
      </c>
      <c r="AB80" s="259">
        <v>0</v>
      </c>
      <c r="AC80" s="259">
        <v>0</v>
      </c>
      <c r="AD80" s="259">
        <v>0</v>
      </c>
      <c r="AE80" s="259">
        <v>0</v>
      </c>
      <c r="AF80" s="259">
        <v>0</v>
      </c>
      <c r="AG80" s="259">
        <v>0</v>
      </c>
      <c r="AH80" s="259">
        <v>0</v>
      </c>
      <c r="AI80" s="259">
        <v>0</v>
      </c>
      <c r="AJ80" s="259">
        <v>0</v>
      </c>
      <c r="AK80" s="259">
        <v>0</v>
      </c>
      <c r="AL80" s="259">
        <v>0</v>
      </c>
      <c r="AM80" s="259">
        <v>0</v>
      </c>
      <c r="AN80" s="259">
        <v>0</v>
      </c>
      <c r="AO80" s="259">
        <v>0</v>
      </c>
      <c r="AP80" s="259">
        <v>0</v>
      </c>
      <c r="AQ80" s="259">
        <v>0</v>
      </c>
      <c r="AR80" s="259">
        <v>0</v>
      </c>
      <c r="AS80" s="259">
        <v>0</v>
      </c>
      <c r="AT80" s="259">
        <v>0</v>
      </c>
      <c r="AU80" s="259">
        <v>0</v>
      </c>
      <c r="AV80" s="259">
        <v>0</v>
      </c>
      <c r="AW80" s="259">
        <v>0</v>
      </c>
      <c r="AX80" s="259">
        <v>0</v>
      </c>
      <c r="AY80" s="259">
        <v>0</v>
      </c>
      <c r="AZ80" s="259">
        <v>0</v>
      </c>
      <c r="BA80" s="259">
        <v>0</v>
      </c>
      <c r="BB80" s="259">
        <v>0</v>
      </c>
      <c r="BC80" s="259">
        <v>0</v>
      </c>
      <c r="BD80" s="259">
        <v>0</v>
      </c>
      <c r="BE80" s="259">
        <v>0</v>
      </c>
      <c r="BF80" s="259">
        <v>0</v>
      </c>
    </row>
    <row r="81" spans="1:58" x14ac:dyDescent="0.3">
      <c r="A81" s="263" t="s">
        <v>856</v>
      </c>
      <c r="B81" s="264" t="s">
        <v>792</v>
      </c>
      <c r="C81" s="264" t="s">
        <v>792</v>
      </c>
      <c r="D81" s="264" t="s">
        <v>792</v>
      </c>
      <c r="E81" s="264" t="s">
        <v>792</v>
      </c>
      <c r="F81" s="259">
        <v>3202</v>
      </c>
      <c r="G81" s="264" t="s">
        <v>792</v>
      </c>
      <c r="H81" s="259">
        <v>7250</v>
      </c>
      <c r="I81" s="264" t="s">
        <v>792</v>
      </c>
      <c r="J81" s="259">
        <v>9740</v>
      </c>
      <c r="K81" s="259">
        <v>5481</v>
      </c>
      <c r="L81" s="259">
        <v>10646</v>
      </c>
      <c r="M81" s="259">
        <v>11324</v>
      </c>
      <c r="N81" s="259">
        <v>20801</v>
      </c>
      <c r="O81" s="264" t="s">
        <v>792</v>
      </c>
      <c r="P81" s="264" t="s">
        <v>792</v>
      </c>
      <c r="Q81" s="264" t="s">
        <v>792</v>
      </c>
      <c r="R81" s="259">
        <v>17669</v>
      </c>
      <c r="S81" s="259">
        <v>12451</v>
      </c>
      <c r="T81" s="259">
        <v>12539</v>
      </c>
      <c r="U81" s="259">
        <v>8909</v>
      </c>
      <c r="V81" s="259">
        <v>7439</v>
      </c>
      <c r="W81" s="259">
        <v>7231</v>
      </c>
      <c r="X81" s="259">
        <v>5918</v>
      </c>
      <c r="Y81" s="259">
        <v>5501</v>
      </c>
      <c r="Z81" s="259">
        <v>7373</v>
      </c>
      <c r="AA81" s="259">
        <v>7547</v>
      </c>
      <c r="AB81" s="259">
        <v>6239</v>
      </c>
      <c r="AC81" s="259">
        <v>5167</v>
      </c>
      <c r="AD81" s="259">
        <v>10151</v>
      </c>
      <c r="AE81" s="259">
        <v>6454</v>
      </c>
      <c r="AF81" s="259">
        <v>6429</v>
      </c>
      <c r="AG81" s="259">
        <v>3132</v>
      </c>
      <c r="AH81" s="259">
        <v>9979</v>
      </c>
      <c r="AI81" s="259">
        <v>7074</v>
      </c>
      <c r="AJ81" s="259">
        <v>7996</v>
      </c>
      <c r="AK81" s="259">
        <v>5192</v>
      </c>
      <c r="AL81" s="259">
        <v>14923</v>
      </c>
      <c r="AM81" s="259">
        <v>21691</v>
      </c>
      <c r="AN81" s="259">
        <v>32618</v>
      </c>
      <c r="AO81" s="259">
        <v>36108</v>
      </c>
      <c r="AP81" s="259">
        <v>39359</v>
      </c>
      <c r="AQ81" s="259">
        <v>40457</v>
      </c>
      <c r="AR81" s="259">
        <v>50663</v>
      </c>
      <c r="AS81" s="259">
        <v>58054</v>
      </c>
      <c r="AT81" s="259">
        <v>54857</v>
      </c>
      <c r="AU81" s="259">
        <v>41101</v>
      </c>
      <c r="AV81" s="259">
        <v>74923</v>
      </c>
      <c r="AW81" s="259">
        <v>105896</v>
      </c>
      <c r="AX81" s="259">
        <v>131475</v>
      </c>
      <c r="AY81" s="259">
        <v>111779</v>
      </c>
      <c r="AZ81" s="259">
        <v>127701</v>
      </c>
      <c r="BA81" s="259">
        <v>128626</v>
      </c>
      <c r="BB81" s="259">
        <v>138003</v>
      </c>
      <c r="BC81" s="259">
        <v>163959</v>
      </c>
      <c r="BD81" s="259">
        <v>180905</v>
      </c>
      <c r="BE81" s="259">
        <v>198965</v>
      </c>
      <c r="BF81" s="259">
        <v>266893</v>
      </c>
    </row>
    <row r="82" spans="1:58" x14ac:dyDescent="0.3">
      <c r="A82" s="260" t="s">
        <v>857</v>
      </c>
      <c r="B82" s="262">
        <v>156</v>
      </c>
      <c r="C82" s="262">
        <v>1159</v>
      </c>
      <c r="D82" s="262">
        <v>11285</v>
      </c>
      <c r="E82" s="262">
        <v>2593</v>
      </c>
      <c r="F82" s="262">
        <v>7876</v>
      </c>
      <c r="G82" s="262">
        <v>22303</v>
      </c>
      <c r="H82" s="262">
        <v>11477</v>
      </c>
      <c r="I82" s="262">
        <v>46206</v>
      </c>
      <c r="J82" s="262">
        <v>54342</v>
      </c>
      <c r="K82" s="262">
        <v>75447</v>
      </c>
      <c r="L82" s="262">
        <v>30285</v>
      </c>
      <c r="M82" s="262">
        <v>69906</v>
      </c>
      <c r="N82" s="262">
        <v>101487</v>
      </c>
      <c r="O82" s="262">
        <v>120715</v>
      </c>
      <c r="P82" s="262">
        <v>193143</v>
      </c>
      <c r="Q82" s="262">
        <v>196047</v>
      </c>
      <c r="R82" s="262">
        <v>63362</v>
      </c>
      <c r="S82" s="262">
        <v>175686</v>
      </c>
      <c r="T82" s="262">
        <v>105180</v>
      </c>
      <c r="U82" s="262">
        <v>109628</v>
      </c>
      <c r="V82" s="262">
        <v>63217</v>
      </c>
      <c r="W82" s="262">
        <v>68683</v>
      </c>
      <c r="X82" s="262">
        <v>40210</v>
      </c>
      <c r="Y82" s="262">
        <v>63789</v>
      </c>
      <c r="Z82" s="262">
        <v>52469</v>
      </c>
      <c r="AA82" s="262">
        <v>72292</v>
      </c>
      <c r="AB82" s="262">
        <v>49348</v>
      </c>
      <c r="AC82" s="262">
        <v>32836</v>
      </c>
      <c r="AD82" s="262">
        <v>50176</v>
      </c>
      <c r="AE82" s="262">
        <v>51068</v>
      </c>
      <c r="AF82" s="262">
        <v>53993</v>
      </c>
      <c r="AG82" s="262">
        <v>64368</v>
      </c>
      <c r="AH82" s="262">
        <v>70536</v>
      </c>
      <c r="AI82" s="262">
        <v>72888</v>
      </c>
      <c r="AJ82" s="262">
        <v>91620</v>
      </c>
      <c r="AK82" s="262">
        <v>92833</v>
      </c>
      <c r="AL82" s="262">
        <v>73258</v>
      </c>
      <c r="AM82" s="262">
        <v>127426</v>
      </c>
      <c r="AN82" s="262">
        <v>126570</v>
      </c>
      <c r="AO82" s="262">
        <v>129731</v>
      </c>
      <c r="AP82" s="262">
        <v>87232</v>
      </c>
      <c r="AQ82" s="262">
        <v>110976</v>
      </c>
      <c r="AR82" s="262">
        <v>139859</v>
      </c>
      <c r="AS82" s="262">
        <v>281408</v>
      </c>
      <c r="AT82" s="262">
        <v>236889</v>
      </c>
      <c r="AU82" s="262">
        <v>119524</v>
      </c>
      <c r="AV82" s="262">
        <v>152400</v>
      </c>
      <c r="AW82" s="262">
        <v>204816</v>
      </c>
      <c r="AX82" s="262">
        <v>292204</v>
      </c>
      <c r="AY82" s="262">
        <v>262789</v>
      </c>
      <c r="AZ82" s="262">
        <v>316734</v>
      </c>
      <c r="BA82" s="262">
        <v>334084</v>
      </c>
      <c r="BB82" s="262">
        <v>565926</v>
      </c>
      <c r="BC82" s="262">
        <v>605633</v>
      </c>
      <c r="BD82" s="262">
        <v>757359</v>
      </c>
      <c r="BE82" s="262">
        <v>638038</v>
      </c>
      <c r="BF82" s="262">
        <v>834778</v>
      </c>
    </row>
    <row r="83" spans="1:58" x14ac:dyDescent="0.3">
      <c r="A83" s="263" t="s">
        <v>858</v>
      </c>
      <c r="B83" s="264" t="s">
        <v>792</v>
      </c>
      <c r="C83" s="264" t="s">
        <v>792</v>
      </c>
      <c r="D83" s="264" t="s">
        <v>792</v>
      </c>
      <c r="E83" s="264" t="s">
        <v>792</v>
      </c>
      <c r="F83" s="259">
        <v>7876</v>
      </c>
      <c r="G83" s="264" t="s">
        <v>792</v>
      </c>
      <c r="H83" s="264" t="s">
        <v>792</v>
      </c>
      <c r="I83" s="264" t="s">
        <v>792</v>
      </c>
      <c r="J83" s="264" t="s">
        <v>792</v>
      </c>
      <c r="K83" s="264" t="s">
        <v>792</v>
      </c>
      <c r="L83" s="264" t="s">
        <v>792</v>
      </c>
      <c r="M83" s="264" t="s">
        <v>792</v>
      </c>
      <c r="N83" s="264" t="s">
        <v>792</v>
      </c>
      <c r="O83" s="264" t="s">
        <v>792</v>
      </c>
      <c r="P83" s="264" t="s">
        <v>792</v>
      </c>
      <c r="Q83" s="264" t="s">
        <v>792</v>
      </c>
      <c r="R83" s="259">
        <v>60287</v>
      </c>
      <c r="S83" s="259">
        <v>118767</v>
      </c>
      <c r="T83" s="259">
        <v>83082</v>
      </c>
      <c r="U83" s="259">
        <v>90626</v>
      </c>
      <c r="V83" s="259">
        <v>45221</v>
      </c>
      <c r="W83" s="259">
        <v>44387</v>
      </c>
      <c r="X83" s="259">
        <v>26098</v>
      </c>
      <c r="Y83" s="259">
        <v>37693</v>
      </c>
      <c r="Z83" s="259">
        <v>28846</v>
      </c>
      <c r="AA83" s="259">
        <v>37695</v>
      </c>
      <c r="AB83" s="259">
        <v>29731</v>
      </c>
      <c r="AC83" s="259">
        <v>20377</v>
      </c>
      <c r="AD83" s="259">
        <v>23269</v>
      </c>
      <c r="AE83" s="259">
        <v>24138</v>
      </c>
      <c r="AF83" s="259">
        <v>26919</v>
      </c>
      <c r="AG83" s="259">
        <v>31760</v>
      </c>
      <c r="AH83" s="259">
        <v>37306</v>
      </c>
      <c r="AI83" s="259">
        <v>29372</v>
      </c>
      <c r="AJ83" s="259">
        <v>50175</v>
      </c>
      <c r="AK83" s="259">
        <v>45566</v>
      </c>
      <c r="AL83" s="259">
        <v>42221</v>
      </c>
      <c r="AM83" s="259">
        <v>69299</v>
      </c>
      <c r="AN83" s="259">
        <v>72489</v>
      </c>
      <c r="AO83" s="259">
        <v>79056</v>
      </c>
      <c r="AP83" s="259">
        <v>66732</v>
      </c>
      <c r="AQ83" s="259">
        <v>75045</v>
      </c>
      <c r="AR83" s="259">
        <v>116242</v>
      </c>
      <c r="AS83" s="259">
        <v>160981</v>
      </c>
      <c r="AT83" s="259">
        <v>170285</v>
      </c>
      <c r="AU83" s="259">
        <v>77212</v>
      </c>
      <c r="AV83" s="259">
        <v>128704</v>
      </c>
      <c r="AW83" s="259">
        <v>70261</v>
      </c>
      <c r="AX83" s="259">
        <v>30012</v>
      </c>
      <c r="AY83" s="259">
        <v>81700</v>
      </c>
      <c r="AZ83" s="259">
        <v>141066</v>
      </c>
      <c r="BA83" s="259">
        <v>131800</v>
      </c>
      <c r="BB83" s="259">
        <v>266902</v>
      </c>
      <c r="BC83" s="259">
        <v>290999</v>
      </c>
      <c r="BD83" s="259">
        <v>561330</v>
      </c>
      <c r="BE83" s="259">
        <v>445553</v>
      </c>
      <c r="BF83" s="259">
        <v>678426</v>
      </c>
    </row>
    <row r="84" spans="1:58" x14ac:dyDescent="0.3">
      <c r="A84" s="263" t="s">
        <v>859</v>
      </c>
      <c r="B84" s="264" t="s">
        <v>792</v>
      </c>
      <c r="C84" s="264" t="s">
        <v>792</v>
      </c>
      <c r="D84" s="264" t="s">
        <v>792</v>
      </c>
      <c r="E84" s="264" t="s">
        <v>792</v>
      </c>
      <c r="F84" s="259">
        <v>0</v>
      </c>
      <c r="G84" s="264" t="s">
        <v>792</v>
      </c>
      <c r="H84" s="264" t="s">
        <v>792</v>
      </c>
      <c r="I84" s="264" t="s">
        <v>792</v>
      </c>
      <c r="J84" s="264" t="s">
        <v>792</v>
      </c>
      <c r="K84" s="264" t="s">
        <v>792</v>
      </c>
      <c r="L84" s="264" t="s">
        <v>792</v>
      </c>
      <c r="M84" s="264" t="s">
        <v>792</v>
      </c>
      <c r="N84" s="264" t="s">
        <v>792</v>
      </c>
      <c r="O84" s="264" t="s">
        <v>792</v>
      </c>
      <c r="P84" s="264" t="s">
        <v>792</v>
      </c>
      <c r="Q84" s="264" t="s">
        <v>792</v>
      </c>
      <c r="R84" s="259">
        <v>3075</v>
      </c>
      <c r="S84" s="259">
        <v>56919</v>
      </c>
      <c r="T84" s="259">
        <v>22098</v>
      </c>
      <c r="U84" s="259">
        <v>19002</v>
      </c>
      <c r="V84" s="259">
        <v>17996</v>
      </c>
      <c r="W84" s="259">
        <v>24296</v>
      </c>
      <c r="X84" s="259">
        <v>14112</v>
      </c>
      <c r="Y84" s="259">
        <v>26096</v>
      </c>
      <c r="Z84" s="259">
        <v>23623</v>
      </c>
      <c r="AA84" s="259">
        <v>34597</v>
      </c>
      <c r="AB84" s="259">
        <v>19617</v>
      </c>
      <c r="AC84" s="259">
        <v>12459</v>
      </c>
      <c r="AD84" s="259">
        <v>26907</v>
      </c>
      <c r="AE84" s="259">
        <v>26930</v>
      </c>
      <c r="AF84" s="259">
        <v>27074</v>
      </c>
      <c r="AG84" s="259">
        <v>32608</v>
      </c>
      <c r="AH84" s="259">
        <v>33230</v>
      </c>
      <c r="AI84" s="259">
        <v>43516</v>
      </c>
      <c r="AJ84" s="259">
        <v>41445</v>
      </c>
      <c r="AK84" s="259">
        <v>47267</v>
      </c>
      <c r="AL84" s="259">
        <v>31037</v>
      </c>
      <c r="AM84" s="259">
        <v>58127</v>
      </c>
      <c r="AN84" s="259">
        <v>54081</v>
      </c>
      <c r="AO84" s="259">
        <v>50675</v>
      </c>
      <c r="AP84" s="259">
        <v>20500</v>
      </c>
      <c r="AQ84" s="259">
        <v>35931</v>
      </c>
      <c r="AR84" s="259">
        <v>23617</v>
      </c>
      <c r="AS84" s="259">
        <v>120427</v>
      </c>
      <c r="AT84" s="259">
        <v>66604</v>
      </c>
      <c r="AU84" s="259">
        <v>42312</v>
      </c>
      <c r="AV84" s="259">
        <v>23696</v>
      </c>
      <c r="AW84" s="259">
        <v>134555</v>
      </c>
      <c r="AX84" s="259">
        <v>262192</v>
      </c>
      <c r="AY84" s="259">
        <v>181089</v>
      </c>
      <c r="AZ84" s="259">
        <v>175668</v>
      </c>
      <c r="BA84" s="259">
        <v>202284</v>
      </c>
      <c r="BB84" s="259">
        <v>299024</v>
      </c>
      <c r="BC84" s="259">
        <v>314634</v>
      </c>
      <c r="BD84" s="259">
        <v>196029</v>
      </c>
      <c r="BE84" s="259">
        <v>192485</v>
      </c>
      <c r="BF84" s="259">
        <v>156352</v>
      </c>
    </row>
    <row r="85" spans="1:58" x14ac:dyDescent="0.3">
      <c r="A85" s="260" t="s">
        <v>860</v>
      </c>
      <c r="B85" s="261" t="s">
        <v>792</v>
      </c>
      <c r="C85" s="261" t="s">
        <v>792</v>
      </c>
      <c r="D85" s="261" t="s">
        <v>792</v>
      </c>
      <c r="E85" s="261" t="s">
        <v>792</v>
      </c>
      <c r="F85" s="262">
        <v>3698</v>
      </c>
      <c r="G85" s="262">
        <v>6579</v>
      </c>
      <c r="H85" s="262">
        <v>9785</v>
      </c>
      <c r="I85" s="262">
        <v>9236</v>
      </c>
      <c r="J85" s="262">
        <v>14223</v>
      </c>
      <c r="K85" s="262">
        <v>56734</v>
      </c>
      <c r="L85" s="262">
        <v>14198</v>
      </c>
      <c r="M85" s="262">
        <v>31707</v>
      </c>
      <c r="N85" s="262">
        <v>35559</v>
      </c>
      <c r="O85" s="262">
        <v>20734</v>
      </c>
      <c r="P85" s="262">
        <v>27988</v>
      </c>
      <c r="Q85" s="262">
        <v>21056</v>
      </c>
      <c r="R85" s="262">
        <v>26366</v>
      </c>
      <c r="S85" s="262">
        <v>32238</v>
      </c>
      <c r="T85" s="262">
        <v>29258</v>
      </c>
      <c r="U85" s="262">
        <v>30688</v>
      </c>
      <c r="V85" s="262">
        <v>17016</v>
      </c>
      <c r="W85" s="262">
        <v>20417</v>
      </c>
      <c r="X85" s="262">
        <v>8623</v>
      </c>
      <c r="Y85" s="262">
        <v>14774</v>
      </c>
      <c r="Z85" s="262">
        <v>13082</v>
      </c>
      <c r="AA85" s="262">
        <v>13690</v>
      </c>
      <c r="AB85" s="262">
        <v>10995</v>
      </c>
      <c r="AC85" s="262">
        <v>10041</v>
      </c>
      <c r="AD85" s="262">
        <v>13494</v>
      </c>
      <c r="AE85" s="262">
        <v>21559</v>
      </c>
      <c r="AF85" s="262">
        <v>24683</v>
      </c>
      <c r="AG85" s="262">
        <v>17124</v>
      </c>
      <c r="AH85" s="262">
        <v>20076</v>
      </c>
      <c r="AI85" s="262">
        <v>24418</v>
      </c>
      <c r="AJ85" s="262">
        <v>32505</v>
      </c>
      <c r="AK85" s="262">
        <v>50460</v>
      </c>
      <c r="AL85" s="262">
        <v>37010</v>
      </c>
      <c r="AM85" s="262">
        <v>43161</v>
      </c>
      <c r="AN85" s="262">
        <v>85097</v>
      </c>
      <c r="AO85" s="262">
        <v>56861</v>
      </c>
      <c r="AP85" s="262">
        <v>83441</v>
      </c>
      <c r="AQ85" s="262">
        <v>56691</v>
      </c>
      <c r="AR85" s="262">
        <v>48114</v>
      </c>
      <c r="AS85" s="262">
        <v>73112</v>
      </c>
      <c r="AT85" s="262">
        <v>87741</v>
      </c>
      <c r="AU85" s="262">
        <v>120602</v>
      </c>
      <c r="AV85" s="262">
        <v>96411</v>
      </c>
      <c r="AW85" s="262">
        <v>126361</v>
      </c>
      <c r="AX85" s="262">
        <v>183678</v>
      </c>
      <c r="AY85" s="262">
        <v>182392</v>
      </c>
      <c r="AZ85" s="262">
        <v>298646</v>
      </c>
      <c r="BA85" s="262">
        <v>337433</v>
      </c>
      <c r="BB85" s="262">
        <v>158712</v>
      </c>
      <c r="BC85" s="262">
        <v>320602</v>
      </c>
      <c r="BD85" s="262">
        <v>433332</v>
      </c>
      <c r="BE85" s="262">
        <v>504261</v>
      </c>
      <c r="BF85" s="262">
        <v>593007</v>
      </c>
    </row>
    <row r="86" spans="1:58" x14ac:dyDescent="0.3">
      <c r="A86" s="263" t="s">
        <v>861</v>
      </c>
      <c r="B86" s="264" t="s">
        <v>792</v>
      </c>
      <c r="C86" s="264" t="s">
        <v>792</v>
      </c>
      <c r="D86" s="264" t="s">
        <v>792</v>
      </c>
      <c r="E86" s="264" t="s">
        <v>792</v>
      </c>
      <c r="F86" s="259">
        <v>3534</v>
      </c>
      <c r="G86" s="259">
        <v>6341</v>
      </c>
      <c r="H86" s="259">
        <v>8678</v>
      </c>
      <c r="I86" s="259">
        <v>8067</v>
      </c>
      <c r="J86" s="259">
        <v>13673</v>
      </c>
      <c r="K86" s="259">
        <v>55464</v>
      </c>
      <c r="L86" s="259">
        <v>13366</v>
      </c>
      <c r="M86" s="264" t="s">
        <v>792</v>
      </c>
      <c r="N86" s="259">
        <v>35559</v>
      </c>
      <c r="O86" s="264" t="s">
        <v>792</v>
      </c>
      <c r="P86" s="264" t="s">
        <v>792</v>
      </c>
      <c r="Q86" s="264" t="s">
        <v>792</v>
      </c>
      <c r="R86" s="259">
        <v>26366</v>
      </c>
      <c r="S86" s="259">
        <v>32238</v>
      </c>
      <c r="T86" s="259">
        <v>29258</v>
      </c>
      <c r="U86" s="259">
        <v>30688</v>
      </c>
      <c r="V86" s="259">
        <v>17016</v>
      </c>
      <c r="W86" s="259">
        <v>20417</v>
      </c>
      <c r="X86" s="259">
        <v>8623</v>
      </c>
      <c r="Y86" s="259">
        <v>14774</v>
      </c>
      <c r="Z86" s="259">
        <v>13082</v>
      </c>
      <c r="AA86" s="259">
        <v>13690</v>
      </c>
      <c r="AB86" s="259">
        <v>10995</v>
      </c>
      <c r="AC86" s="259">
        <v>10041</v>
      </c>
      <c r="AD86" s="259">
        <v>13494</v>
      </c>
      <c r="AE86" s="259">
        <v>21559</v>
      </c>
      <c r="AF86" s="259">
        <v>24683</v>
      </c>
      <c r="AG86" s="259">
        <v>17124</v>
      </c>
      <c r="AH86" s="259">
        <v>20076</v>
      </c>
      <c r="AI86" s="259">
        <v>24418</v>
      </c>
      <c r="AJ86" s="259">
        <v>31203</v>
      </c>
      <c r="AK86" s="259">
        <v>44811</v>
      </c>
      <c r="AL86" s="259">
        <v>37010</v>
      </c>
      <c r="AM86" s="259">
        <v>43161</v>
      </c>
      <c r="AN86" s="259">
        <v>85097</v>
      </c>
      <c r="AO86" s="259">
        <v>56861</v>
      </c>
      <c r="AP86" s="259">
        <v>83441</v>
      </c>
      <c r="AQ86" s="259">
        <v>56691</v>
      </c>
      <c r="AR86" s="259">
        <v>48114</v>
      </c>
      <c r="AS86" s="259">
        <v>73112</v>
      </c>
      <c r="AT86" s="259">
        <v>87741</v>
      </c>
      <c r="AU86" s="259">
        <v>120602</v>
      </c>
      <c r="AV86" s="259">
        <v>95314</v>
      </c>
      <c r="AW86" s="259">
        <v>125073</v>
      </c>
      <c r="AX86" s="259">
        <v>183678</v>
      </c>
      <c r="AY86" s="259">
        <v>182392</v>
      </c>
      <c r="AZ86" s="259">
        <v>298646</v>
      </c>
      <c r="BA86" s="259">
        <v>337433</v>
      </c>
      <c r="BB86" s="259">
        <v>158712</v>
      </c>
      <c r="BC86" s="259">
        <v>320602</v>
      </c>
      <c r="BD86" s="259">
        <v>433332</v>
      </c>
      <c r="BE86" s="259">
        <v>504261</v>
      </c>
      <c r="BF86" s="259">
        <v>593007</v>
      </c>
    </row>
    <row r="87" spans="1:58" x14ac:dyDescent="0.3">
      <c r="A87" s="265" t="s">
        <v>862</v>
      </c>
      <c r="B87" s="256" t="s">
        <v>792</v>
      </c>
      <c r="C87" s="256" t="s">
        <v>792</v>
      </c>
      <c r="D87" s="256" t="s">
        <v>792</v>
      </c>
      <c r="E87" s="256" t="s">
        <v>792</v>
      </c>
      <c r="F87" s="257">
        <v>1093</v>
      </c>
      <c r="G87" s="257">
        <v>1919</v>
      </c>
      <c r="H87" s="257">
        <v>2743</v>
      </c>
      <c r="I87" s="257">
        <v>1229</v>
      </c>
      <c r="J87" s="257">
        <v>555</v>
      </c>
      <c r="K87" s="257">
        <v>26430</v>
      </c>
      <c r="L87" s="257">
        <v>0</v>
      </c>
      <c r="M87" s="256" t="s">
        <v>792</v>
      </c>
      <c r="N87" s="257">
        <v>311</v>
      </c>
      <c r="O87" s="256" t="s">
        <v>792</v>
      </c>
      <c r="P87" s="256" t="s">
        <v>792</v>
      </c>
      <c r="Q87" s="256" t="s">
        <v>792</v>
      </c>
      <c r="R87" s="257">
        <v>65</v>
      </c>
      <c r="S87" s="257">
        <v>1602</v>
      </c>
      <c r="T87" s="257">
        <v>0</v>
      </c>
      <c r="U87" s="257">
        <v>3672</v>
      </c>
      <c r="V87" s="257">
        <v>8498</v>
      </c>
      <c r="W87" s="257">
        <v>9422</v>
      </c>
      <c r="X87" s="257">
        <v>0</v>
      </c>
      <c r="Y87" s="257">
        <v>0</v>
      </c>
      <c r="Z87" s="257">
        <v>0</v>
      </c>
      <c r="AA87" s="257">
        <v>0</v>
      </c>
      <c r="AB87" s="257">
        <v>0</v>
      </c>
      <c r="AC87" s="257">
        <v>0</v>
      </c>
      <c r="AD87" s="257">
        <v>0</v>
      </c>
      <c r="AE87" s="257">
        <v>21559</v>
      </c>
      <c r="AF87" s="257">
        <v>24683</v>
      </c>
      <c r="AG87" s="257">
        <v>17124</v>
      </c>
      <c r="AH87" s="257">
        <v>0</v>
      </c>
      <c r="AI87" s="257">
        <v>0</v>
      </c>
      <c r="AJ87" s="257">
        <v>14645</v>
      </c>
      <c r="AK87" s="257">
        <v>29784</v>
      </c>
      <c r="AL87" s="257">
        <v>18307</v>
      </c>
      <c r="AM87" s="257">
        <v>23874</v>
      </c>
      <c r="AN87" s="257">
        <v>56849</v>
      </c>
      <c r="AO87" s="257">
        <v>28728</v>
      </c>
      <c r="AP87" s="257">
        <v>52232</v>
      </c>
      <c r="AQ87" s="257">
        <v>19234</v>
      </c>
      <c r="AR87" s="257">
        <v>22044</v>
      </c>
      <c r="AS87" s="257">
        <v>31890</v>
      </c>
      <c r="AT87" s="257">
        <v>52729</v>
      </c>
      <c r="AU87" s="257">
        <v>85407</v>
      </c>
      <c r="AV87" s="257">
        <v>58718</v>
      </c>
      <c r="AW87" s="257">
        <v>88349</v>
      </c>
      <c r="AX87" s="257">
        <v>126322</v>
      </c>
      <c r="AY87" s="257">
        <v>123114</v>
      </c>
      <c r="AZ87" s="257">
        <v>198719</v>
      </c>
      <c r="BA87" s="257">
        <v>257714</v>
      </c>
      <c r="BB87" s="257">
        <v>86979</v>
      </c>
      <c r="BC87" s="257">
        <v>117092</v>
      </c>
      <c r="BD87" s="257">
        <v>107654</v>
      </c>
      <c r="BE87" s="257">
        <v>193027</v>
      </c>
      <c r="BF87" s="257">
        <v>335726</v>
      </c>
    </row>
    <row r="88" spans="1:58" x14ac:dyDescent="0.3">
      <c r="A88" s="265" t="s">
        <v>798</v>
      </c>
      <c r="B88" s="256" t="s">
        <v>792</v>
      </c>
      <c r="C88" s="256" t="s">
        <v>792</v>
      </c>
      <c r="D88" s="256" t="s">
        <v>792</v>
      </c>
      <c r="E88" s="256" t="s">
        <v>792</v>
      </c>
      <c r="F88" s="257">
        <v>2441</v>
      </c>
      <c r="G88" s="257">
        <v>4422</v>
      </c>
      <c r="H88" s="257">
        <v>5935</v>
      </c>
      <c r="I88" s="257">
        <v>6838</v>
      </c>
      <c r="J88" s="257">
        <v>13118</v>
      </c>
      <c r="K88" s="257">
        <v>29034</v>
      </c>
      <c r="L88" s="257">
        <v>13366</v>
      </c>
      <c r="M88" s="256" t="s">
        <v>792</v>
      </c>
      <c r="N88" s="257">
        <v>35248</v>
      </c>
      <c r="O88" s="256" t="s">
        <v>792</v>
      </c>
      <c r="P88" s="256" t="s">
        <v>792</v>
      </c>
      <c r="Q88" s="256" t="s">
        <v>792</v>
      </c>
      <c r="R88" s="257">
        <v>26301</v>
      </c>
      <c r="S88" s="257">
        <v>30636</v>
      </c>
      <c r="T88" s="257">
        <v>29258</v>
      </c>
      <c r="U88" s="257">
        <v>27016</v>
      </c>
      <c r="V88" s="257">
        <v>8518</v>
      </c>
      <c r="W88" s="257">
        <v>10995</v>
      </c>
      <c r="X88" s="257">
        <v>8623</v>
      </c>
      <c r="Y88" s="257">
        <v>14774</v>
      </c>
      <c r="Z88" s="257">
        <v>13082</v>
      </c>
      <c r="AA88" s="257">
        <v>13690</v>
      </c>
      <c r="AB88" s="257">
        <v>10995</v>
      </c>
      <c r="AC88" s="257">
        <v>10041</v>
      </c>
      <c r="AD88" s="257">
        <v>13494</v>
      </c>
      <c r="AE88" s="257">
        <v>0</v>
      </c>
      <c r="AF88" s="257">
        <v>0</v>
      </c>
      <c r="AG88" s="257">
        <v>0</v>
      </c>
      <c r="AH88" s="257">
        <v>20076</v>
      </c>
      <c r="AI88" s="257">
        <v>24418</v>
      </c>
      <c r="AJ88" s="257">
        <v>16558</v>
      </c>
      <c r="AK88" s="257">
        <v>15027</v>
      </c>
      <c r="AL88" s="257">
        <v>18703</v>
      </c>
      <c r="AM88" s="257">
        <v>19287</v>
      </c>
      <c r="AN88" s="257">
        <v>28248</v>
      </c>
      <c r="AO88" s="257">
        <v>28133</v>
      </c>
      <c r="AP88" s="257">
        <v>31209</v>
      </c>
      <c r="AQ88" s="257">
        <v>37457</v>
      </c>
      <c r="AR88" s="257">
        <v>26070</v>
      </c>
      <c r="AS88" s="257">
        <v>41222</v>
      </c>
      <c r="AT88" s="257">
        <v>35012</v>
      </c>
      <c r="AU88" s="257">
        <v>35195</v>
      </c>
      <c r="AV88" s="257">
        <v>36596</v>
      </c>
      <c r="AW88" s="257">
        <v>36724</v>
      </c>
      <c r="AX88" s="257">
        <v>57356</v>
      </c>
      <c r="AY88" s="257">
        <v>59278</v>
      </c>
      <c r="AZ88" s="257">
        <v>99927</v>
      </c>
      <c r="BA88" s="257">
        <v>79719</v>
      </c>
      <c r="BB88" s="257">
        <v>71733</v>
      </c>
      <c r="BC88" s="257">
        <v>203510</v>
      </c>
      <c r="BD88" s="257">
        <v>325678</v>
      </c>
      <c r="BE88" s="257">
        <v>311234</v>
      </c>
      <c r="BF88" s="257">
        <v>257281</v>
      </c>
    </row>
    <row r="89" spans="1:58" x14ac:dyDescent="0.3">
      <c r="A89" s="263" t="s">
        <v>863</v>
      </c>
      <c r="B89" s="264" t="s">
        <v>792</v>
      </c>
      <c r="C89" s="264" t="s">
        <v>792</v>
      </c>
      <c r="D89" s="264" t="s">
        <v>792</v>
      </c>
      <c r="E89" s="264" t="s">
        <v>792</v>
      </c>
      <c r="F89" s="259">
        <v>0</v>
      </c>
      <c r="G89" s="259">
        <v>0</v>
      </c>
      <c r="H89" s="259">
        <v>0</v>
      </c>
      <c r="I89" s="259">
        <v>0</v>
      </c>
      <c r="J89" s="259">
        <v>0</v>
      </c>
      <c r="K89" s="259">
        <v>0</v>
      </c>
      <c r="L89" s="259">
        <v>0</v>
      </c>
      <c r="M89" s="264" t="s">
        <v>792</v>
      </c>
      <c r="N89" s="259">
        <v>0</v>
      </c>
      <c r="O89" s="264" t="s">
        <v>792</v>
      </c>
      <c r="P89" s="264" t="s">
        <v>792</v>
      </c>
      <c r="Q89" s="264" t="s">
        <v>792</v>
      </c>
      <c r="R89" s="259">
        <v>0</v>
      </c>
      <c r="S89" s="259">
        <v>0</v>
      </c>
      <c r="T89" s="259">
        <v>0</v>
      </c>
      <c r="U89" s="259">
        <v>0</v>
      </c>
      <c r="V89" s="259">
        <v>0</v>
      </c>
      <c r="W89" s="259">
        <v>0</v>
      </c>
      <c r="X89" s="259">
        <v>0</v>
      </c>
      <c r="Y89" s="259">
        <v>0</v>
      </c>
      <c r="Z89" s="259">
        <v>0</v>
      </c>
      <c r="AA89" s="259">
        <v>0</v>
      </c>
      <c r="AB89" s="259">
        <v>0</v>
      </c>
      <c r="AC89" s="259">
        <v>0</v>
      </c>
      <c r="AD89" s="259">
        <v>0</v>
      </c>
      <c r="AE89" s="259">
        <v>0</v>
      </c>
      <c r="AF89" s="259">
        <v>0</v>
      </c>
      <c r="AG89" s="259">
        <v>0</v>
      </c>
      <c r="AH89" s="259">
        <v>0</v>
      </c>
      <c r="AI89" s="259">
        <v>0</v>
      </c>
      <c r="AJ89" s="259">
        <v>1133</v>
      </c>
      <c r="AK89" s="259">
        <v>1190</v>
      </c>
      <c r="AL89" s="259">
        <v>0</v>
      </c>
      <c r="AM89" s="259">
        <v>0</v>
      </c>
      <c r="AN89" s="259">
        <v>0</v>
      </c>
      <c r="AO89" s="259">
        <v>0</v>
      </c>
      <c r="AP89" s="259">
        <v>0</v>
      </c>
      <c r="AQ89" s="259">
        <v>0</v>
      </c>
      <c r="AR89" s="259">
        <v>0</v>
      </c>
      <c r="AS89" s="259">
        <v>0</v>
      </c>
      <c r="AT89" s="259">
        <v>0</v>
      </c>
      <c r="AU89" s="259">
        <v>0</v>
      </c>
      <c r="AV89" s="259">
        <v>1097</v>
      </c>
      <c r="AW89" s="259">
        <v>1288</v>
      </c>
      <c r="AX89" s="259">
        <v>0</v>
      </c>
      <c r="AY89" s="259">
        <v>0</v>
      </c>
      <c r="AZ89" s="259">
        <v>0</v>
      </c>
      <c r="BA89" s="259">
        <v>0</v>
      </c>
      <c r="BB89" s="259">
        <v>0</v>
      </c>
      <c r="BC89" s="259">
        <v>0</v>
      </c>
      <c r="BD89" s="259">
        <v>0</v>
      </c>
      <c r="BE89" s="259">
        <v>0</v>
      </c>
      <c r="BF89" s="259">
        <v>0</v>
      </c>
    </row>
    <row r="90" spans="1:58" x14ac:dyDescent="0.3">
      <c r="A90" s="263" t="s">
        <v>864</v>
      </c>
      <c r="B90" s="264" t="s">
        <v>792</v>
      </c>
      <c r="C90" s="264" t="s">
        <v>792</v>
      </c>
      <c r="D90" s="264" t="s">
        <v>792</v>
      </c>
      <c r="E90" s="264" t="s">
        <v>792</v>
      </c>
      <c r="F90" s="259">
        <v>164</v>
      </c>
      <c r="G90" s="259">
        <v>238</v>
      </c>
      <c r="H90" s="259">
        <v>1107</v>
      </c>
      <c r="I90" s="259">
        <v>1169</v>
      </c>
      <c r="J90" s="259">
        <v>550</v>
      </c>
      <c r="K90" s="259">
        <v>1270</v>
      </c>
      <c r="L90" s="259">
        <v>832</v>
      </c>
      <c r="M90" s="264" t="s">
        <v>792</v>
      </c>
      <c r="N90" s="259">
        <v>0</v>
      </c>
      <c r="O90" s="264" t="s">
        <v>792</v>
      </c>
      <c r="P90" s="264" t="s">
        <v>792</v>
      </c>
      <c r="Q90" s="264" t="s">
        <v>792</v>
      </c>
      <c r="R90" s="259">
        <v>0</v>
      </c>
      <c r="S90" s="259">
        <v>0</v>
      </c>
      <c r="T90" s="259">
        <v>0</v>
      </c>
      <c r="U90" s="259">
        <v>0</v>
      </c>
      <c r="V90" s="259">
        <v>0</v>
      </c>
      <c r="W90" s="259">
        <v>0</v>
      </c>
      <c r="X90" s="259">
        <v>0</v>
      </c>
      <c r="Y90" s="259">
        <v>0</v>
      </c>
      <c r="Z90" s="259">
        <v>0</v>
      </c>
      <c r="AA90" s="259">
        <v>0</v>
      </c>
      <c r="AB90" s="259">
        <v>0</v>
      </c>
      <c r="AC90" s="259">
        <v>0</v>
      </c>
      <c r="AD90" s="259">
        <v>0</v>
      </c>
      <c r="AE90" s="259">
        <v>0</v>
      </c>
      <c r="AF90" s="259">
        <v>0</v>
      </c>
      <c r="AG90" s="259">
        <v>0</v>
      </c>
      <c r="AH90" s="259">
        <v>0</v>
      </c>
      <c r="AI90" s="259">
        <v>0</v>
      </c>
      <c r="AJ90" s="259">
        <v>169</v>
      </c>
      <c r="AK90" s="259">
        <v>4459</v>
      </c>
      <c r="AL90" s="259">
        <v>0</v>
      </c>
      <c r="AM90" s="259">
        <v>0</v>
      </c>
      <c r="AN90" s="259">
        <v>0</v>
      </c>
      <c r="AO90" s="259">
        <v>0</v>
      </c>
      <c r="AP90" s="259">
        <v>0</v>
      </c>
      <c r="AQ90" s="259">
        <v>0</v>
      </c>
      <c r="AR90" s="259">
        <v>0</v>
      </c>
      <c r="AS90" s="259">
        <v>0</v>
      </c>
      <c r="AT90" s="259">
        <v>0</v>
      </c>
      <c r="AU90" s="259">
        <v>0</v>
      </c>
      <c r="AV90" s="259">
        <v>0</v>
      </c>
      <c r="AW90" s="259">
        <v>0</v>
      </c>
      <c r="AX90" s="259">
        <v>0</v>
      </c>
      <c r="AY90" s="259">
        <v>0</v>
      </c>
      <c r="AZ90" s="259">
        <v>0</v>
      </c>
      <c r="BA90" s="259">
        <v>0</v>
      </c>
      <c r="BB90" s="259">
        <v>0</v>
      </c>
      <c r="BC90" s="259">
        <v>0</v>
      </c>
      <c r="BD90" s="259">
        <v>0</v>
      </c>
      <c r="BE90" s="259">
        <v>0</v>
      </c>
      <c r="BF90" s="259">
        <v>0</v>
      </c>
    </row>
    <row r="91" spans="1:58" x14ac:dyDescent="0.3">
      <c r="A91" s="260" t="s">
        <v>865</v>
      </c>
      <c r="B91" s="262">
        <v>0</v>
      </c>
      <c r="C91" s="262">
        <v>0</v>
      </c>
      <c r="D91" s="262">
        <v>0</v>
      </c>
      <c r="E91" s="262">
        <v>0</v>
      </c>
      <c r="F91" s="262">
        <v>350</v>
      </c>
      <c r="G91" s="262">
        <v>0</v>
      </c>
      <c r="H91" s="262">
        <v>0</v>
      </c>
      <c r="I91" s="262">
        <v>0</v>
      </c>
      <c r="J91" s="262">
        <v>0</v>
      </c>
      <c r="K91" s="262">
        <v>630</v>
      </c>
      <c r="L91" s="262">
        <v>630</v>
      </c>
      <c r="M91" s="262">
        <v>76</v>
      </c>
      <c r="N91" s="262">
        <v>1974</v>
      </c>
      <c r="O91" s="262">
        <v>1344</v>
      </c>
      <c r="P91" s="262">
        <v>86884</v>
      </c>
      <c r="Q91" s="262">
        <v>108632</v>
      </c>
      <c r="R91" s="262">
        <v>70380</v>
      </c>
      <c r="S91" s="262">
        <v>0</v>
      </c>
      <c r="T91" s="262">
        <v>0</v>
      </c>
      <c r="U91" s="262">
        <v>0</v>
      </c>
      <c r="V91" s="262">
        <v>0</v>
      </c>
      <c r="W91" s="262">
        <v>2550</v>
      </c>
      <c r="X91" s="262">
        <v>1727</v>
      </c>
      <c r="Y91" s="262">
        <v>4466</v>
      </c>
      <c r="Z91" s="262">
        <v>664</v>
      </c>
      <c r="AA91" s="262">
        <v>1604</v>
      </c>
      <c r="AB91" s="262">
        <v>706</v>
      </c>
      <c r="AC91" s="262">
        <v>1706</v>
      </c>
      <c r="AD91" s="262">
        <v>688</v>
      </c>
      <c r="AE91" s="262">
        <v>166145</v>
      </c>
      <c r="AF91" s="262">
        <v>165606</v>
      </c>
      <c r="AG91" s="262">
        <v>92763</v>
      </c>
      <c r="AH91" s="262">
        <v>96632</v>
      </c>
      <c r="AI91" s="262">
        <v>76242</v>
      </c>
      <c r="AJ91" s="262">
        <v>199484</v>
      </c>
      <c r="AK91" s="262">
        <v>771</v>
      </c>
      <c r="AL91" s="262">
        <v>222743</v>
      </c>
      <c r="AM91" s="262">
        <v>507290</v>
      </c>
      <c r="AN91" s="262">
        <v>607362</v>
      </c>
      <c r="AO91" s="262">
        <v>888864</v>
      </c>
      <c r="AP91" s="262">
        <v>1447355</v>
      </c>
      <c r="AQ91" s="262">
        <v>2114234</v>
      </c>
      <c r="AR91" s="262">
        <v>1668978</v>
      </c>
      <c r="AS91" s="262">
        <v>1637624</v>
      </c>
      <c r="AT91" s="262">
        <v>1772611</v>
      </c>
      <c r="AU91" s="262">
        <v>2072370</v>
      </c>
      <c r="AV91" s="262">
        <v>583414</v>
      </c>
      <c r="AW91" s="262">
        <v>342176</v>
      </c>
      <c r="AX91" s="262">
        <v>106458</v>
      </c>
      <c r="AY91" s="262">
        <v>169716</v>
      </c>
      <c r="AZ91" s="262">
        <v>175854</v>
      </c>
      <c r="BA91" s="262">
        <v>622219</v>
      </c>
      <c r="BB91" s="262">
        <v>498319</v>
      </c>
      <c r="BC91" s="262">
        <v>1799874</v>
      </c>
      <c r="BD91" s="262">
        <v>2422574</v>
      </c>
      <c r="BE91" s="262">
        <v>2193787</v>
      </c>
      <c r="BF91" s="262">
        <v>1476564</v>
      </c>
    </row>
    <row r="92" spans="1:58" x14ac:dyDescent="0.3">
      <c r="A92" s="263" t="s">
        <v>866</v>
      </c>
      <c r="B92" s="259">
        <v>0</v>
      </c>
      <c r="C92" s="259">
        <v>0</v>
      </c>
      <c r="D92" s="259">
        <v>0</v>
      </c>
      <c r="E92" s="259">
        <v>0</v>
      </c>
      <c r="F92" s="259">
        <v>350</v>
      </c>
      <c r="G92" s="259">
        <v>0</v>
      </c>
      <c r="H92" s="259">
        <v>0</v>
      </c>
      <c r="I92" s="259">
        <v>0</v>
      </c>
      <c r="J92" s="259">
        <v>0</v>
      </c>
      <c r="K92" s="264" t="s">
        <v>792</v>
      </c>
      <c r="L92" s="264" t="s">
        <v>792</v>
      </c>
      <c r="M92" s="264" t="s">
        <v>792</v>
      </c>
      <c r="N92" s="264" t="s">
        <v>792</v>
      </c>
      <c r="O92" s="264" t="s">
        <v>792</v>
      </c>
      <c r="P92" s="264" t="s">
        <v>792</v>
      </c>
      <c r="Q92" s="264" t="s">
        <v>792</v>
      </c>
      <c r="R92" s="259">
        <v>70380</v>
      </c>
      <c r="S92" s="259">
        <v>0</v>
      </c>
      <c r="T92" s="259">
        <v>0</v>
      </c>
      <c r="U92" s="259">
        <v>0</v>
      </c>
      <c r="V92" s="259">
        <v>0</v>
      </c>
      <c r="W92" s="259">
        <v>0</v>
      </c>
      <c r="X92" s="259">
        <v>0</v>
      </c>
      <c r="Y92" s="259">
        <v>0</v>
      </c>
      <c r="Z92" s="259">
        <v>0</v>
      </c>
      <c r="AA92" s="259">
        <v>0</v>
      </c>
      <c r="AB92" s="259">
        <v>0</v>
      </c>
      <c r="AC92" s="259">
        <v>0</v>
      </c>
      <c r="AD92" s="259">
        <v>0</v>
      </c>
      <c r="AE92" s="259">
        <v>123855</v>
      </c>
      <c r="AF92" s="259">
        <v>124328</v>
      </c>
      <c r="AG92" s="259">
        <v>71272</v>
      </c>
      <c r="AH92" s="259">
        <v>75011</v>
      </c>
      <c r="AI92" s="259">
        <v>75437</v>
      </c>
      <c r="AJ92" s="259">
        <v>199166</v>
      </c>
      <c r="AK92" s="259">
        <v>0</v>
      </c>
      <c r="AL92" s="259">
        <v>222437</v>
      </c>
      <c r="AM92" s="259">
        <v>482523</v>
      </c>
      <c r="AN92" s="259">
        <v>566985</v>
      </c>
      <c r="AO92" s="259">
        <v>848109</v>
      </c>
      <c r="AP92" s="259">
        <v>1224306</v>
      </c>
      <c r="AQ92" s="259">
        <v>1821008</v>
      </c>
      <c r="AR92" s="259">
        <v>1373731</v>
      </c>
      <c r="AS92" s="259">
        <v>1355327</v>
      </c>
      <c r="AT92" s="259">
        <v>1519966</v>
      </c>
      <c r="AU92" s="259">
        <v>1882524</v>
      </c>
      <c r="AV92" s="259">
        <v>467184</v>
      </c>
      <c r="AW92" s="259">
        <v>200006</v>
      </c>
      <c r="AX92" s="259">
        <v>553</v>
      </c>
      <c r="AY92" s="259">
        <v>46928</v>
      </c>
      <c r="AZ92" s="259">
        <v>25111</v>
      </c>
      <c r="BA92" s="259">
        <v>451208</v>
      </c>
      <c r="BB92" s="259">
        <v>393258</v>
      </c>
      <c r="BC92" s="259">
        <v>1654333</v>
      </c>
      <c r="BD92" s="259">
        <v>2206310</v>
      </c>
      <c r="BE92" s="259">
        <v>1978629</v>
      </c>
      <c r="BF92" s="259">
        <v>1212632</v>
      </c>
    </row>
    <row r="93" spans="1:58" x14ac:dyDescent="0.3">
      <c r="A93" s="265" t="s">
        <v>867</v>
      </c>
      <c r="B93" s="256" t="s">
        <v>792</v>
      </c>
      <c r="C93" s="257">
        <v>0</v>
      </c>
      <c r="D93" s="257">
        <v>0</v>
      </c>
      <c r="E93" s="257">
        <v>0</v>
      </c>
      <c r="F93" s="257">
        <v>350</v>
      </c>
      <c r="G93" s="257">
        <v>0</v>
      </c>
      <c r="H93" s="257">
        <v>0</v>
      </c>
      <c r="I93" s="257">
        <v>0</v>
      </c>
      <c r="J93" s="257">
        <v>0</v>
      </c>
      <c r="K93" s="256" t="s">
        <v>792</v>
      </c>
      <c r="L93" s="256" t="s">
        <v>792</v>
      </c>
      <c r="M93" s="256" t="s">
        <v>792</v>
      </c>
      <c r="N93" s="256" t="s">
        <v>792</v>
      </c>
      <c r="O93" s="256" t="s">
        <v>792</v>
      </c>
      <c r="P93" s="256" t="s">
        <v>792</v>
      </c>
      <c r="Q93" s="256" t="s">
        <v>792</v>
      </c>
      <c r="R93" s="257">
        <v>70380</v>
      </c>
      <c r="S93" s="257">
        <v>0</v>
      </c>
      <c r="T93" s="257">
        <v>0</v>
      </c>
      <c r="U93" s="257">
        <v>0</v>
      </c>
      <c r="V93" s="257">
        <v>0</v>
      </c>
      <c r="W93" s="257">
        <v>0</v>
      </c>
      <c r="X93" s="257">
        <v>0</v>
      </c>
      <c r="Y93" s="257">
        <v>0</v>
      </c>
      <c r="Z93" s="257">
        <v>0</v>
      </c>
      <c r="AA93" s="257">
        <v>0</v>
      </c>
      <c r="AB93" s="257">
        <v>0</v>
      </c>
      <c r="AC93" s="257">
        <v>0</v>
      </c>
      <c r="AD93" s="257">
        <v>0</v>
      </c>
      <c r="AE93" s="257">
        <v>123855</v>
      </c>
      <c r="AF93" s="257">
        <v>124328</v>
      </c>
      <c r="AG93" s="257">
        <v>71272</v>
      </c>
      <c r="AH93" s="256" t="s">
        <v>792</v>
      </c>
      <c r="AI93" s="256" t="s">
        <v>792</v>
      </c>
      <c r="AJ93" s="257">
        <v>0</v>
      </c>
      <c r="AK93" s="257">
        <v>0</v>
      </c>
      <c r="AL93" s="257">
        <v>49</v>
      </c>
      <c r="AM93" s="257">
        <v>109</v>
      </c>
      <c r="AN93" s="257">
        <v>123529</v>
      </c>
      <c r="AO93" s="257">
        <v>145</v>
      </c>
      <c r="AP93" s="257">
        <v>109</v>
      </c>
      <c r="AQ93" s="257">
        <v>133</v>
      </c>
      <c r="AR93" s="257">
        <v>124</v>
      </c>
      <c r="AS93" s="257">
        <v>0</v>
      </c>
      <c r="AT93" s="257">
        <v>57738</v>
      </c>
      <c r="AU93" s="257">
        <v>57918</v>
      </c>
      <c r="AV93" s="257">
        <v>0</v>
      </c>
      <c r="AW93" s="257">
        <v>0</v>
      </c>
      <c r="AX93" s="257">
        <v>0</v>
      </c>
      <c r="AY93" s="257">
        <v>0</v>
      </c>
      <c r="AZ93" s="257">
        <v>0</v>
      </c>
      <c r="BA93" s="257">
        <v>0</v>
      </c>
      <c r="BB93" s="257">
        <v>0</v>
      </c>
      <c r="BC93" s="257">
        <v>0</v>
      </c>
      <c r="BD93" s="257">
        <v>0</v>
      </c>
      <c r="BE93" s="257">
        <v>0</v>
      </c>
      <c r="BF93" s="257">
        <v>0</v>
      </c>
    </row>
    <row r="94" spans="1:58" x14ac:dyDescent="0.3">
      <c r="A94" s="265" t="s">
        <v>868</v>
      </c>
      <c r="B94" s="256" t="s">
        <v>792</v>
      </c>
      <c r="C94" s="257">
        <v>0</v>
      </c>
      <c r="D94" s="257">
        <v>0</v>
      </c>
      <c r="E94" s="257">
        <v>0</v>
      </c>
      <c r="F94" s="257">
        <v>0</v>
      </c>
      <c r="G94" s="257">
        <v>0</v>
      </c>
      <c r="H94" s="257">
        <v>0</v>
      </c>
      <c r="I94" s="257">
        <v>0</v>
      </c>
      <c r="J94" s="257">
        <v>0</v>
      </c>
      <c r="K94" s="256" t="s">
        <v>792</v>
      </c>
      <c r="L94" s="256" t="s">
        <v>792</v>
      </c>
      <c r="M94" s="256" t="s">
        <v>792</v>
      </c>
      <c r="N94" s="256" t="s">
        <v>792</v>
      </c>
      <c r="O94" s="256" t="s">
        <v>792</v>
      </c>
      <c r="P94" s="256" t="s">
        <v>792</v>
      </c>
      <c r="Q94" s="256" t="s">
        <v>792</v>
      </c>
      <c r="R94" s="257">
        <v>0</v>
      </c>
      <c r="S94" s="257">
        <v>0</v>
      </c>
      <c r="T94" s="257">
        <v>0</v>
      </c>
      <c r="U94" s="257">
        <v>0</v>
      </c>
      <c r="V94" s="257">
        <v>0</v>
      </c>
      <c r="W94" s="257">
        <v>0</v>
      </c>
      <c r="X94" s="257">
        <v>0</v>
      </c>
      <c r="Y94" s="257">
        <v>0</v>
      </c>
      <c r="Z94" s="257">
        <v>0</v>
      </c>
      <c r="AA94" s="257">
        <v>0</v>
      </c>
      <c r="AB94" s="257">
        <v>0</v>
      </c>
      <c r="AC94" s="257">
        <v>0</v>
      </c>
      <c r="AD94" s="257">
        <v>0</v>
      </c>
      <c r="AE94" s="257">
        <v>0</v>
      </c>
      <c r="AF94" s="257">
        <v>0</v>
      </c>
      <c r="AG94" s="257">
        <v>0</v>
      </c>
      <c r="AH94" s="256" t="s">
        <v>792</v>
      </c>
      <c r="AI94" s="256" t="s">
        <v>792</v>
      </c>
      <c r="AJ94" s="257">
        <v>199166</v>
      </c>
      <c r="AK94" s="257">
        <v>0</v>
      </c>
      <c r="AL94" s="257">
        <v>222388</v>
      </c>
      <c r="AM94" s="257">
        <v>482414</v>
      </c>
      <c r="AN94" s="257">
        <v>443456</v>
      </c>
      <c r="AO94" s="257">
        <v>847964</v>
      </c>
      <c r="AP94" s="257">
        <v>1224197</v>
      </c>
      <c r="AQ94" s="257">
        <v>1820875</v>
      </c>
      <c r="AR94" s="257">
        <v>1373607</v>
      </c>
      <c r="AS94" s="257">
        <v>1355327</v>
      </c>
      <c r="AT94" s="257">
        <v>1462228</v>
      </c>
      <c r="AU94" s="257">
        <v>1824606</v>
      </c>
      <c r="AV94" s="257">
        <v>467184</v>
      </c>
      <c r="AW94" s="257">
        <v>200006</v>
      </c>
      <c r="AX94" s="257">
        <v>553</v>
      </c>
      <c r="AY94" s="257">
        <v>46928</v>
      </c>
      <c r="AZ94" s="257">
        <v>25111</v>
      </c>
      <c r="BA94" s="257">
        <v>451208</v>
      </c>
      <c r="BB94" s="257">
        <v>393258</v>
      </c>
      <c r="BC94" s="257">
        <v>1654333</v>
      </c>
      <c r="BD94" s="257">
        <v>2206310</v>
      </c>
      <c r="BE94" s="257">
        <v>1978629</v>
      </c>
      <c r="BF94" s="257">
        <v>1212632</v>
      </c>
    </row>
    <row r="95" spans="1:58" x14ac:dyDescent="0.3">
      <c r="A95" s="263" t="s">
        <v>869</v>
      </c>
      <c r="B95" s="259">
        <v>0</v>
      </c>
      <c r="C95" s="259">
        <v>0</v>
      </c>
      <c r="D95" s="259">
        <v>0</v>
      </c>
      <c r="E95" s="259">
        <v>0</v>
      </c>
      <c r="F95" s="259">
        <v>0</v>
      </c>
      <c r="G95" s="259">
        <v>0</v>
      </c>
      <c r="H95" s="259">
        <v>0</v>
      </c>
      <c r="I95" s="259">
        <v>0</v>
      </c>
      <c r="J95" s="259">
        <v>0</v>
      </c>
      <c r="K95" s="264" t="s">
        <v>792</v>
      </c>
      <c r="L95" s="264" t="s">
        <v>792</v>
      </c>
      <c r="M95" s="264" t="s">
        <v>792</v>
      </c>
      <c r="N95" s="264" t="s">
        <v>792</v>
      </c>
      <c r="O95" s="264" t="s">
        <v>792</v>
      </c>
      <c r="P95" s="264" t="s">
        <v>792</v>
      </c>
      <c r="Q95" s="264" t="s">
        <v>792</v>
      </c>
      <c r="R95" s="259">
        <v>0</v>
      </c>
      <c r="S95" s="259">
        <v>0</v>
      </c>
      <c r="T95" s="259">
        <v>0</v>
      </c>
      <c r="U95" s="259">
        <v>0</v>
      </c>
      <c r="V95" s="259">
        <v>0</v>
      </c>
      <c r="W95" s="259">
        <v>2550</v>
      </c>
      <c r="X95" s="259">
        <v>1727</v>
      </c>
      <c r="Y95" s="259">
        <v>4466</v>
      </c>
      <c r="Z95" s="259">
        <v>664</v>
      </c>
      <c r="AA95" s="259">
        <v>1604</v>
      </c>
      <c r="AB95" s="259">
        <v>706</v>
      </c>
      <c r="AC95" s="259">
        <v>1706</v>
      </c>
      <c r="AD95" s="259">
        <v>688</v>
      </c>
      <c r="AE95" s="259">
        <v>42290</v>
      </c>
      <c r="AF95" s="259">
        <v>41278</v>
      </c>
      <c r="AG95" s="259">
        <v>21491</v>
      </c>
      <c r="AH95" s="259">
        <v>21621</v>
      </c>
      <c r="AI95" s="259">
        <v>805</v>
      </c>
      <c r="AJ95" s="259">
        <v>318</v>
      </c>
      <c r="AK95" s="259">
        <v>771</v>
      </c>
      <c r="AL95" s="259">
        <v>306</v>
      </c>
      <c r="AM95" s="259">
        <v>24767</v>
      </c>
      <c r="AN95" s="259">
        <v>40377</v>
      </c>
      <c r="AO95" s="259">
        <v>40755</v>
      </c>
      <c r="AP95" s="259">
        <v>0</v>
      </c>
      <c r="AQ95" s="259">
        <v>0</v>
      </c>
      <c r="AR95" s="259">
        <v>0</v>
      </c>
      <c r="AS95" s="259">
        <v>0</v>
      </c>
      <c r="AT95" s="259">
        <v>0</v>
      </c>
      <c r="AU95" s="259">
        <v>0</v>
      </c>
      <c r="AV95" s="259">
        <v>0</v>
      </c>
      <c r="AW95" s="259">
        <v>0</v>
      </c>
      <c r="AX95" s="259">
        <v>0</v>
      </c>
      <c r="AY95" s="259">
        <v>0</v>
      </c>
      <c r="AZ95" s="259">
        <v>0</v>
      </c>
      <c r="BA95" s="259">
        <v>7099</v>
      </c>
      <c r="BB95" s="259">
        <v>40514</v>
      </c>
      <c r="BC95" s="259">
        <v>7694</v>
      </c>
      <c r="BD95" s="259">
        <v>38857</v>
      </c>
      <c r="BE95" s="259">
        <v>8040</v>
      </c>
      <c r="BF95" s="259">
        <v>39430</v>
      </c>
    </row>
    <row r="96" spans="1:58" x14ac:dyDescent="0.3">
      <c r="A96" s="263" t="s">
        <v>870</v>
      </c>
      <c r="B96" s="264" t="s">
        <v>792</v>
      </c>
      <c r="C96" s="259">
        <v>0</v>
      </c>
      <c r="D96" s="259">
        <v>0</v>
      </c>
      <c r="E96" s="259">
        <v>0</v>
      </c>
      <c r="F96" s="259">
        <v>0</v>
      </c>
      <c r="G96" s="259">
        <v>0</v>
      </c>
      <c r="H96" s="259">
        <v>0</v>
      </c>
      <c r="I96" s="259">
        <v>0</v>
      </c>
      <c r="J96" s="259">
        <v>0</v>
      </c>
      <c r="K96" s="264" t="s">
        <v>792</v>
      </c>
      <c r="L96" s="264" t="s">
        <v>792</v>
      </c>
      <c r="M96" s="264" t="s">
        <v>792</v>
      </c>
      <c r="N96" s="264" t="s">
        <v>792</v>
      </c>
      <c r="O96" s="264" t="s">
        <v>792</v>
      </c>
      <c r="P96" s="264" t="s">
        <v>792</v>
      </c>
      <c r="Q96" s="264" t="s">
        <v>792</v>
      </c>
      <c r="R96" s="259">
        <v>0</v>
      </c>
      <c r="S96" s="259">
        <v>0</v>
      </c>
      <c r="T96" s="259">
        <v>0</v>
      </c>
      <c r="U96" s="259">
        <v>0</v>
      </c>
      <c r="V96" s="259">
        <v>0</v>
      </c>
      <c r="W96" s="259">
        <v>0</v>
      </c>
      <c r="X96" s="259">
        <v>0</v>
      </c>
      <c r="Y96" s="259">
        <v>0</v>
      </c>
      <c r="Z96" s="259">
        <v>0</v>
      </c>
      <c r="AA96" s="259">
        <v>0</v>
      </c>
      <c r="AB96" s="259">
        <v>0</v>
      </c>
      <c r="AC96" s="259">
        <v>0</v>
      </c>
      <c r="AD96" s="259">
        <v>0</v>
      </c>
      <c r="AE96" s="259">
        <v>0</v>
      </c>
      <c r="AF96" s="259">
        <v>0</v>
      </c>
      <c r="AG96" s="259">
        <v>0</v>
      </c>
      <c r="AH96" s="259">
        <v>0</v>
      </c>
      <c r="AI96" s="259">
        <v>0</v>
      </c>
      <c r="AJ96" s="259">
        <v>0</v>
      </c>
      <c r="AK96" s="259">
        <v>0</v>
      </c>
      <c r="AL96" s="259">
        <v>0</v>
      </c>
      <c r="AM96" s="259">
        <v>0</v>
      </c>
      <c r="AN96" s="259">
        <v>0</v>
      </c>
      <c r="AO96" s="259">
        <v>0</v>
      </c>
      <c r="AP96" s="259">
        <v>223049</v>
      </c>
      <c r="AQ96" s="259">
        <v>293226</v>
      </c>
      <c r="AR96" s="259">
        <v>295247</v>
      </c>
      <c r="AS96" s="259">
        <v>282297</v>
      </c>
      <c r="AT96" s="259">
        <v>252645</v>
      </c>
      <c r="AU96" s="259">
        <v>189846</v>
      </c>
      <c r="AV96" s="259">
        <v>116230</v>
      </c>
      <c r="AW96" s="259">
        <v>142170</v>
      </c>
      <c r="AX96" s="259">
        <v>105905</v>
      </c>
      <c r="AY96" s="259">
        <v>122788</v>
      </c>
      <c r="AZ96" s="259">
        <v>150743</v>
      </c>
      <c r="BA96" s="259">
        <v>163912</v>
      </c>
      <c r="BB96" s="259">
        <v>64547</v>
      </c>
      <c r="BC96" s="259">
        <v>137847</v>
      </c>
      <c r="BD96" s="259">
        <v>177407</v>
      </c>
      <c r="BE96" s="259">
        <v>207118</v>
      </c>
      <c r="BF96" s="259">
        <v>224502</v>
      </c>
    </row>
    <row r="97" spans="1:58" x14ac:dyDescent="0.3">
      <c r="A97" s="260" t="s">
        <v>871</v>
      </c>
      <c r="B97" s="261" t="s">
        <v>792</v>
      </c>
      <c r="C97" s="261" t="s">
        <v>792</v>
      </c>
      <c r="D97" s="261" t="s">
        <v>792</v>
      </c>
      <c r="E97" s="261" t="s">
        <v>792</v>
      </c>
      <c r="F97" s="262">
        <v>20069</v>
      </c>
      <c r="G97" s="262">
        <v>21659</v>
      </c>
      <c r="H97" s="262">
        <v>14685</v>
      </c>
      <c r="I97" s="262">
        <v>458</v>
      </c>
      <c r="J97" s="262">
        <v>517205</v>
      </c>
      <c r="K97" s="262">
        <v>713524</v>
      </c>
      <c r="L97" s="262">
        <v>876</v>
      </c>
      <c r="M97" s="262">
        <v>558</v>
      </c>
      <c r="N97" s="262">
        <v>4185</v>
      </c>
      <c r="O97" s="262">
        <v>58721</v>
      </c>
      <c r="P97" s="262">
        <v>25301</v>
      </c>
      <c r="Q97" s="262">
        <v>32217</v>
      </c>
      <c r="R97" s="262">
        <v>46027</v>
      </c>
      <c r="S97" s="262">
        <v>3641</v>
      </c>
      <c r="T97" s="262">
        <v>101536</v>
      </c>
      <c r="U97" s="262">
        <v>82486</v>
      </c>
      <c r="V97" s="262">
        <v>80649</v>
      </c>
      <c r="W97" s="262">
        <v>102052</v>
      </c>
      <c r="X97" s="262">
        <v>68224</v>
      </c>
      <c r="Y97" s="262">
        <v>97173</v>
      </c>
      <c r="Z97" s="262">
        <v>11835</v>
      </c>
      <c r="AA97" s="262">
        <v>11045</v>
      </c>
      <c r="AB97" s="262">
        <v>7461</v>
      </c>
      <c r="AC97" s="262">
        <v>8596</v>
      </c>
      <c r="AD97" s="262">
        <v>5111</v>
      </c>
      <c r="AE97" s="262">
        <v>7352</v>
      </c>
      <c r="AF97" s="262">
        <v>11003</v>
      </c>
      <c r="AG97" s="262">
        <v>20437</v>
      </c>
      <c r="AH97" s="262">
        <v>19629</v>
      </c>
      <c r="AI97" s="262">
        <v>6894</v>
      </c>
      <c r="AJ97" s="262">
        <v>17318</v>
      </c>
      <c r="AK97" s="262">
        <v>18226</v>
      </c>
      <c r="AL97" s="262">
        <v>23052</v>
      </c>
      <c r="AM97" s="262">
        <v>222633</v>
      </c>
      <c r="AN97" s="262">
        <v>28330</v>
      </c>
      <c r="AO97" s="262">
        <v>26008</v>
      </c>
      <c r="AP97" s="262">
        <v>12396</v>
      </c>
      <c r="AQ97" s="262">
        <v>19</v>
      </c>
      <c r="AR97" s="262">
        <v>19</v>
      </c>
      <c r="AS97" s="262">
        <v>20</v>
      </c>
      <c r="AT97" s="262">
        <v>0</v>
      </c>
      <c r="AU97" s="262">
        <v>0</v>
      </c>
      <c r="AV97" s="262">
        <v>0</v>
      </c>
      <c r="AW97" s="262">
        <v>448750</v>
      </c>
      <c r="AX97" s="262">
        <v>376684</v>
      </c>
      <c r="AY97" s="262">
        <v>178273</v>
      </c>
      <c r="AZ97" s="262">
        <v>53827</v>
      </c>
      <c r="BA97" s="262">
        <v>0</v>
      </c>
      <c r="BB97" s="262">
        <v>43433</v>
      </c>
      <c r="BC97" s="262">
        <v>304223</v>
      </c>
      <c r="BD97" s="262">
        <v>289861</v>
      </c>
      <c r="BE97" s="262">
        <v>342003</v>
      </c>
      <c r="BF97" s="262">
        <v>292569</v>
      </c>
    </row>
    <row r="98" spans="1:58" x14ac:dyDescent="0.3">
      <c r="A98" s="263" t="s">
        <v>872</v>
      </c>
      <c r="B98" s="264" t="s">
        <v>792</v>
      </c>
      <c r="C98" s="264" t="s">
        <v>792</v>
      </c>
      <c r="D98" s="264" t="s">
        <v>792</v>
      </c>
      <c r="E98" s="264" t="s">
        <v>792</v>
      </c>
      <c r="F98" s="259">
        <v>0</v>
      </c>
      <c r="G98" s="259">
        <v>0</v>
      </c>
      <c r="H98" s="259">
        <v>0</v>
      </c>
      <c r="I98" s="259">
        <v>0</v>
      </c>
      <c r="J98" s="259">
        <v>0</v>
      </c>
      <c r="K98" s="259">
        <v>0</v>
      </c>
      <c r="L98" s="259">
        <v>0</v>
      </c>
      <c r="M98" s="259">
        <v>0</v>
      </c>
      <c r="N98" s="259">
        <v>0</v>
      </c>
      <c r="O98" s="259">
        <v>0</v>
      </c>
      <c r="P98" s="259">
        <v>0</v>
      </c>
      <c r="Q98" s="259">
        <v>0</v>
      </c>
      <c r="R98" s="259">
        <v>0</v>
      </c>
      <c r="S98" s="259">
        <v>0</v>
      </c>
      <c r="T98" s="259">
        <v>0</v>
      </c>
      <c r="U98" s="259">
        <v>0</v>
      </c>
      <c r="V98" s="259">
        <v>0</v>
      </c>
      <c r="W98" s="259">
        <v>0</v>
      </c>
      <c r="X98" s="259">
        <v>0</v>
      </c>
      <c r="Y98" s="259">
        <v>0</v>
      </c>
      <c r="Z98" s="259">
        <v>0</v>
      </c>
      <c r="AA98" s="259">
        <v>0</v>
      </c>
      <c r="AB98" s="259">
        <v>0</v>
      </c>
      <c r="AC98" s="259">
        <v>0</v>
      </c>
      <c r="AD98" s="259">
        <v>0</v>
      </c>
      <c r="AE98" s="259">
        <v>0</v>
      </c>
      <c r="AF98" s="259">
        <v>0</v>
      </c>
      <c r="AG98" s="259">
        <v>0</v>
      </c>
      <c r="AH98" s="259">
        <v>0</v>
      </c>
      <c r="AI98" s="259">
        <v>0</v>
      </c>
      <c r="AJ98" s="259">
        <v>0</v>
      </c>
      <c r="AK98" s="259">
        <v>0</v>
      </c>
      <c r="AL98" s="259">
        <v>0</v>
      </c>
      <c r="AM98" s="259">
        <v>0</v>
      </c>
      <c r="AN98" s="259">
        <v>0</v>
      </c>
      <c r="AO98" s="259">
        <v>0</v>
      </c>
      <c r="AP98" s="259">
        <v>0</v>
      </c>
      <c r="AQ98" s="259">
        <v>0</v>
      </c>
      <c r="AR98" s="259">
        <v>0</v>
      </c>
      <c r="AS98" s="259">
        <v>0</v>
      </c>
      <c r="AT98" s="259">
        <v>0</v>
      </c>
      <c r="AU98" s="259">
        <v>0</v>
      </c>
      <c r="AV98" s="259">
        <v>0</v>
      </c>
      <c r="AW98" s="259">
        <v>0</v>
      </c>
      <c r="AX98" s="259">
        <v>0</v>
      </c>
      <c r="AY98" s="259">
        <v>0</v>
      </c>
      <c r="AZ98" s="259">
        <v>0</v>
      </c>
      <c r="BA98" s="259">
        <v>0</v>
      </c>
      <c r="BB98" s="259">
        <v>0</v>
      </c>
      <c r="BC98" s="259">
        <v>0</v>
      </c>
      <c r="BD98" s="259">
        <v>0</v>
      </c>
      <c r="BE98" s="259">
        <v>0</v>
      </c>
      <c r="BF98" s="259">
        <v>0</v>
      </c>
    </row>
    <row r="99" spans="1:58" x14ac:dyDescent="0.3">
      <c r="A99" s="265" t="s">
        <v>873</v>
      </c>
      <c r="B99" s="256" t="s">
        <v>792</v>
      </c>
      <c r="C99" s="256" t="s">
        <v>792</v>
      </c>
      <c r="D99" s="256" t="s">
        <v>792</v>
      </c>
      <c r="E99" s="256" t="s">
        <v>792</v>
      </c>
      <c r="F99" s="257">
        <v>0</v>
      </c>
      <c r="G99" s="257">
        <v>0</v>
      </c>
      <c r="H99" s="257">
        <v>0</v>
      </c>
      <c r="I99" s="257">
        <v>0</v>
      </c>
      <c r="J99" s="257">
        <v>0</v>
      </c>
      <c r="K99" s="257">
        <v>0</v>
      </c>
      <c r="L99" s="257">
        <v>0</v>
      </c>
      <c r="M99" s="257">
        <v>0</v>
      </c>
      <c r="N99" s="257">
        <v>0</v>
      </c>
      <c r="O99" s="257">
        <v>0</v>
      </c>
      <c r="P99" s="257">
        <v>0</v>
      </c>
      <c r="Q99" s="257">
        <v>0</v>
      </c>
      <c r="R99" s="257">
        <v>0</v>
      </c>
      <c r="S99" s="257">
        <v>0</v>
      </c>
      <c r="T99" s="257">
        <v>0</v>
      </c>
      <c r="U99" s="257">
        <v>0</v>
      </c>
      <c r="V99" s="257">
        <v>0</v>
      </c>
      <c r="W99" s="257">
        <v>0</v>
      </c>
      <c r="X99" s="257">
        <v>0</v>
      </c>
      <c r="Y99" s="257">
        <v>0</v>
      </c>
      <c r="Z99" s="257">
        <v>0</v>
      </c>
      <c r="AA99" s="257">
        <v>0</v>
      </c>
      <c r="AB99" s="257">
        <v>0</v>
      </c>
      <c r="AC99" s="257">
        <v>0</v>
      </c>
      <c r="AD99" s="257">
        <v>0</v>
      </c>
      <c r="AE99" s="257">
        <v>0</v>
      </c>
      <c r="AF99" s="257">
        <v>0</v>
      </c>
      <c r="AG99" s="257">
        <v>0</v>
      </c>
      <c r="AH99" s="257">
        <v>0</v>
      </c>
      <c r="AI99" s="257">
        <v>0</v>
      </c>
      <c r="AJ99" s="257">
        <v>0</v>
      </c>
      <c r="AK99" s="257">
        <v>0</v>
      </c>
      <c r="AL99" s="257">
        <v>0</v>
      </c>
      <c r="AM99" s="257">
        <v>0</v>
      </c>
      <c r="AN99" s="257">
        <v>0</v>
      </c>
      <c r="AO99" s="257">
        <v>0</v>
      </c>
      <c r="AP99" s="257">
        <v>0</v>
      </c>
      <c r="AQ99" s="257">
        <v>0</v>
      </c>
      <c r="AR99" s="257">
        <v>0</v>
      </c>
      <c r="AS99" s="257">
        <v>0</v>
      </c>
      <c r="AT99" s="257">
        <v>0</v>
      </c>
      <c r="AU99" s="257">
        <v>0</v>
      </c>
      <c r="AV99" s="257">
        <v>0</v>
      </c>
      <c r="AW99" s="257">
        <v>0</v>
      </c>
      <c r="AX99" s="257">
        <v>0</v>
      </c>
      <c r="AY99" s="257">
        <v>0</v>
      </c>
      <c r="AZ99" s="257">
        <v>0</v>
      </c>
      <c r="BA99" s="257">
        <v>0</v>
      </c>
      <c r="BB99" s="257">
        <v>0</v>
      </c>
      <c r="BC99" s="257">
        <v>0</v>
      </c>
      <c r="BD99" s="257">
        <v>0</v>
      </c>
      <c r="BE99" s="257">
        <v>0</v>
      </c>
      <c r="BF99" s="257">
        <v>0</v>
      </c>
    </row>
    <row r="100" spans="1:58" x14ac:dyDescent="0.3">
      <c r="A100" s="265" t="s">
        <v>874</v>
      </c>
      <c r="B100" s="256" t="s">
        <v>792</v>
      </c>
      <c r="C100" s="256" t="s">
        <v>792</v>
      </c>
      <c r="D100" s="256" t="s">
        <v>792</v>
      </c>
      <c r="E100" s="256" t="s">
        <v>792</v>
      </c>
      <c r="F100" s="257">
        <v>0</v>
      </c>
      <c r="G100" s="257">
        <v>0</v>
      </c>
      <c r="H100" s="257">
        <v>0</v>
      </c>
      <c r="I100" s="257">
        <v>0</v>
      </c>
      <c r="J100" s="257">
        <v>0</v>
      </c>
      <c r="K100" s="257">
        <v>0</v>
      </c>
      <c r="L100" s="257">
        <v>0</v>
      </c>
      <c r="M100" s="257">
        <v>0</v>
      </c>
      <c r="N100" s="257">
        <v>0</v>
      </c>
      <c r="O100" s="257">
        <v>0</v>
      </c>
      <c r="P100" s="257">
        <v>0</v>
      </c>
      <c r="Q100" s="257">
        <v>0</v>
      </c>
      <c r="R100" s="257">
        <v>0</v>
      </c>
      <c r="S100" s="257">
        <v>0</v>
      </c>
      <c r="T100" s="257">
        <v>0</v>
      </c>
      <c r="U100" s="257">
        <v>0</v>
      </c>
      <c r="V100" s="257">
        <v>0</v>
      </c>
      <c r="W100" s="257">
        <v>0</v>
      </c>
      <c r="X100" s="257">
        <v>0</v>
      </c>
      <c r="Y100" s="257">
        <v>0</v>
      </c>
      <c r="Z100" s="257">
        <v>0</v>
      </c>
      <c r="AA100" s="257">
        <v>0</v>
      </c>
      <c r="AB100" s="257">
        <v>0</v>
      </c>
      <c r="AC100" s="257">
        <v>0</v>
      </c>
      <c r="AD100" s="257">
        <v>0</v>
      </c>
      <c r="AE100" s="257">
        <v>0</v>
      </c>
      <c r="AF100" s="257">
        <v>0</v>
      </c>
      <c r="AG100" s="257">
        <v>0</v>
      </c>
      <c r="AH100" s="257">
        <v>0</v>
      </c>
      <c r="AI100" s="257">
        <v>0</v>
      </c>
      <c r="AJ100" s="257">
        <v>0</v>
      </c>
      <c r="AK100" s="257">
        <v>0</v>
      </c>
      <c r="AL100" s="257">
        <v>0</v>
      </c>
      <c r="AM100" s="257">
        <v>0</v>
      </c>
      <c r="AN100" s="257">
        <v>0</v>
      </c>
      <c r="AO100" s="257">
        <v>0</v>
      </c>
      <c r="AP100" s="257">
        <v>0</v>
      </c>
      <c r="AQ100" s="257">
        <v>0</v>
      </c>
      <c r="AR100" s="257">
        <v>0</v>
      </c>
      <c r="AS100" s="257">
        <v>0</v>
      </c>
      <c r="AT100" s="257">
        <v>0</v>
      </c>
      <c r="AU100" s="257">
        <v>0</v>
      </c>
      <c r="AV100" s="257">
        <v>0</v>
      </c>
      <c r="AW100" s="257">
        <v>0</v>
      </c>
      <c r="AX100" s="257">
        <v>0</v>
      </c>
      <c r="AY100" s="257">
        <v>0</v>
      </c>
      <c r="AZ100" s="257">
        <v>0</v>
      </c>
      <c r="BA100" s="257">
        <v>0</v>
      </c>
      <c r="BB100" s="257">
        <v>0</v>
      </c>
      <c r="BC100" s="257">
        <v>0</v>
      </c>
      <c r="BD100" s="257">
        <v>0</v>
      </c>
      <c r="BE100" s="257">
        <v>0</v>
      </c>
      <c r="BF100" s="257">
        <v>0</v>
      </c>
    </row>
    <row r="101" spans="1:58" x14ac:dyDescent="0.3">
      <c r="A101" s="265" t="s">
        <v>875</v>
      </c>
      <c r="B101" s="256" t="s">
        <v>792</v>
      </c>
      <c r="C101" s="256" t="s">
        <v>792</v>
      </c>
      <c r="D101" s="256" t="s">
        <v>792</v>
      </c>
      <c r="E101" s="256" t="s">
        <v>792</v>
      </c>
      <c r="F101" s="257">
        <v>0</v>
      </c>
      <c r="G101" s="257">
        <v>0</v>
      </c>
      <c r="H101" s="257">
        <v>0</v>
      </c>
      <c r="I101" s="257">
        <v>0</v>
      </c>
      <c r="J101" s="257">
        <v>0</v>
      </c>
      <c r="K101" s="257">
        <v>0</v>
      </c>
      <c r="L101" s="257">
        <v>0</v>
      </c>
      <c r="M101" s="257">
        <v>0</v>
      </c>
      <c r="N101" s="257">
        <v>0</v>
      </c>
      <c r="O101" s="257">
        <v>0</v>
      </c>
      <c r="P101" s="257">
        <v>0</v>
      </c>
      <c r="Q101" s="257">
        <v>0</v>
      </c>
      <c r="R101" s="257">
        <v>0</v>
      </c>
      <c r="S101" s="257">
        <v>0</v>
      </c>
      <c r="T101" s="257">
        <v>0</v>
      </c>
      <c r="U101" s="257">
        <v>0</v>
      </c>
      <c r="V101" s="257">
        <v>0</v>
      </c>
      <c r="W101" s="257">
        <v>0</v>
      </c>
      <c r="X101" s="257">
        <v>0</v>
      </c>
      <c r="Y101" s="257">
        <v>0</v>
      </c>
      <c r="Z101" s="257">
        <v>0</v>
      </c>
      <c r="AA101" s="257">
        <v>0</v>
      </c>
      <c r="AB101" s="257">
        <v>0</v>
      </c>
      <c r="AC101" s="257">
        <v>0</v>
      </c>
      <c r="AD101" s="257">
        <v>0</v>
      </c>
      <c r="AE101" s="257">
        <v>0</v>
      </c>
      <c r="AF101" s="257">
        <v>0</v>
      </c>
      <c r="AG101" s="257">
        <v>0</v>
      </c>
      <c r="AH101" s="257">
        <v>0</v>
      </c>
      <c r="AI101" s="257">
        <v>0</v>
      </c>
      <c r="AJ101" s="257">
        <v>0</v>
      </c>
      <c r="AK101" s="257">
        <v>0</v>
      </c>
      <c r="AL101" s="257">
        <v>0</v>
      </c>
      <c r="AM101" s="257">
        <v>0</v>
      </c>
      <c r="AN101" s="257">
        <v>0</v>
      </c>
      <c r="AO101" s="257">
        <v>0</v>
      </c>
      <c r="AP101" s="257">
        <v>0</v>
      </c>
      <c r="AQ101" s="257">
        <v>0</v>
      </c>
      <c r="AR101" s="257">
        <v>0</v>
      </c>
      <c r="AS101" s="257">
        <v>0</v>
      </c>
      <c r="AT101" s="257">
        <v>0</v>
      </c>
      <c r="AU101" s="257">
        <v>0</v>
      </c>
      <c r="AV101" s="257">
        <v>0</v>
      </c>
      <c r="AW101" s="257">
        <v>0</v>
      </c>
      <c r="AX101" s="257">
        <v>0</v>
      </c>
      <c r="AY101" s="257">
        <v>0</v>
      </c>
      <c r="AZ101" s="257">
        <v>0</v>
      </c>
      <c r="BA101" s="257">
        <v>0</v>
      </c>
      <c r="BB101" s="257">
        <v>0</v>
      </c>
      <c r="BC101" s="257">
        <v>0</v>
      </c>
      <c r="BD101" s="257">
        <v>0</v>
      </c>
      <c r="BE101" s="257">
        <v>0</v>
      </c>
      <c r="BF101" s="257">
        <v>0</v>
      </c>
    </row>
    <row r="102" spans="1:58" x14ac:dyDescent="0.3">
      <c r="A102" s="265" t="s">
        <v>876</v>
      </c>
      <c r="B102" s="256" t="s">
        <v>792</v>
      </c>
      <c r="C102" s="256" t="s">
        <v>792</v>
      </c>
      <c r="D102" s="256" t="s">
        <v>792</v>
      </c>
      <c r="E102" s="256" t="s">
        <v>792</v>
      </c>
      <c r="F102" s="257">
        <v>0</v>
      </c>
      <c r="G102" s="257">
        <v>0</v>
      </c>
      <c r="H102" s="257">
        <v>0</v>
      </c>
      <c r="I102" s="257">
        <v>0</v>
      </c>
      <c r="J102" s="257">
        <v>0</v>
      </c>
      <c r="K102" s="257">
        <v>0</v>
      </c>
      <c r="L102" s="257">
        <v>0</v>
      </c>
      <c r="M102" s="257">
        <v>0</v>
      </c>
      <c r="N102" s="257">
        <v>0</v>
      </c>
      <c r="O102" s="257">
        <v>0</v>
      </c>
      <c r="P102" s="257">
        <v>0</v>
      </c>
      <c r="Q102" s="257">
        <v>0</v>
      </c>
      <c r="R102" s="257">
        <v>0</v>
      </c>
      <c r="S102" s="257">
        <v>0</v>
      </c>
      <c r="T102" s="257">
        <v>0</v>
      </c>
      <c r="U102" s="257">
        <v>0</v>
      </c>
      <c r="V102" s="257">
        <v>0</v>
      </c>
      <c r="W102" s="257">
        <v>0</v>
      </c>
      <c r="X102" s="257">
        <v>0</v>
      </c>
      <c r="Y102" s="257">
        <v>0</v>
      </c>
      <c r="Z102" s="257">
        <v>0</v>
      </c>
      <c r="AA102" s="257">
        <v>0</v>
      </c>
      <c r="AB102" s="257">
        <v>0</v>
      </c>
      <c r="AC102" s="257">
        <v>0</v>
      </c>
      <c r="AD102" s="257">
        <v>0</v>
      </c>
      <c r="AE102" s="257">
        <v>0</v>
      </c>
      <c r="AF102" s="257">
        <v>0</v>
      </c>
      <c r="AG102" s="257">
        <v>0</v>
      </c>
      <c r="AH102" s="257">
        <v>0</v>
      </c>
      <c r="AI102" s="257">
        <v>0</v>
      </c>
      <c r="AJ102" s="257">
        <v>0</v>
      </c>
      <c r="AK102" s="257">
        <v>0</v>
      </c>
      <c r="AL102" s="257">
        <v>0</v>
      </c>
      <c r="AM102" s="257">
        <v>0</v>
      </c>
      <c r="AN102" s="257">
        <v>0</v>
      </c>
      <c r="AO102" s="257">
        <v>0</v>
      </c>
      <c r="AP102" s="257">
        <v>0</v>
      </c>
      <c r="AQ102" s="257">
        <v>0</v>
      </c>
      <c r="AR102" s="257">
        <v>0</v>
      </c>
      <c r="AS102" s="257">
        <v>0</v>
      </c>
      <c r="AT102" s="257">
        <v>0</v>
      </c>
      <c r="AU102" s="257">
        <v>0</v>
      </c>
      <c r="AV102" s="257">
        <v>0</v>
      </c>
      <c r="AW102" s="257">
        <v>0</v>
      </c>
      <c r="AX102" s="257">
        <v>0</v>
      </c>
      <c r="AY102" s="257">
        <v>0</v>
      </c>
      <c r="AZ102" s="257">
        <v>0</v>
      </c>
      <c r="BA102" s="257">
        <v>0</v>
      </c>
      <c r="BB102" s="257">
        <v>0</v>
      </c>
      <c r="BC102" s="257">
        <v>0</v>
      </c>
      <c r="BD102" s="257">
        <v>0</v>
      </c>
      <c r="BE102" s="257">
        <v>0</v>
      </c>
      <c r="BF102" s="257">
        <v>0</v>
      </c>
    </row>
    <row r="103" spans="1:58" x14ac:dyDescent="0.3">
      <c r="A103" s="263" t="s">
        <v>877</v>
      </c>
      <c r="B103" s="264" t="s">
        <v>792</v>
      </c>
      <c r="C103" s="264" t="s">
        <v>792</v>
      </c>
      <c r="D103" s="264" t="s">
        <v>792</v>
      </c>
      <c r="E103" s="264" t="s">
        <v>792</v>
      </c>
      <c r="F103" s="259">
        <v>20069</v>
      </c>
      <c r="G103" s="259">
        <v>21659</v>
      </c>
      <c r="H103" s="259">
        <v>14685</v>
      </c>
      <c r="I103" s="259">
        <v>458</v>
      </c>
      <c r="J103" s="259">
        <v>517205</v>
      </c>
      <c r="K103" s="259">
        <v>713524</v>
      </c>
      <c r="L103" s="259">
        <v>876</v>
      </c>
      <c r="M103" s="259">
        <v>558</v>
      </c>
      <c r="N103" s="259">
        <v>4185</v>
      </c>
      <c r="O103" s="259">
        <v>58721</v>
      </c>
      <c r="P103" s="259">
        <v>25301</v>
      </c>
      <c r="Q103" s="259">
        <v>32217</v>
      </c>
      <c r="R103" s="259">
        <v>46027</v>
      </c>
      <c r="S103" s="259">
        <v>3641</v>
      </c>
      <c r="T103" s="259">
        <v>101536</v>
      </c>
      <c r="U103" s="259">
        <v>82486</v>
      </c>
      <c r="V103" s="259">
        <v>80649</v>
      </c>
      <c r="W103" s="259">
        <v>102052</v>
      </c>
      <c r="X103" s="259">
        <v>68224</v>
      </c>
      <c r="Y103" s="259">
        <v>97173</v>
      </c>
      <c r="Z103" s="259">
        <v>11835</v>
      </c>
      <c r="AA103" s="259">
        <v>11045</v>
      </c>
      <c r="AB103" s="259">
        <v>7461</v>
      </c>
      <c r="AC103" s="259">
        <v>8596</v>
      </c>
      <c r="AD103" s="259">
        <v>5111</v>
      </c>
      <c r="AE103" s="259">
        <v>7352</v>
      </c>
      <c r="AF103" s="259">
        <v>11003</v>
      </c>
      <c r="AG103" s="259">
        <v>20437</v>
      </c>
      <c r="AH103" s="259">
        <v>19629</v>
      </c>
      <c r="AI103" s="259">
        <v>6894</v>
      </c>
      <c r="AJ103" s="259">
        <v>17318</v>
      </c>
      <c r="AK103" s="259">
        <v>18226</v>
      </c>
      <c r="AL103" s="259">
        <v>23052</v>
      </c>
      <c r="AM103" s="259">
        <v>222633</v>
      </c>
      <c r="AN103" s="259">
        <v>28330</v>
      </c>
      <c r="AO103" s="259">
        <v>26008</v>
      </c>
      <c r="AP103" s="259">
        <v>12396</v>
      </c>
      <c r="AQ103" s="259">
        <v>19</v>
      </c>
      <c r="AR103" s="259">
        <v>19</v>
      </c>
      <c r="AS103" s="259">
        <v>20</v>
      </c>
      <c r="AT103" s="259">
        <v>0</v>
      </c>
      <c r="AU103" s="259">
        <v>0</v>
      </c>
      <c r="AV103" s="259">
        <v>0</v>
      </c>
      <c r="AW103" s="259">
        <v>448750</v>
      </c>
      <c r="AX103" s="259">
        <v>376684</v>
      </c>
      <c r="AY103" s="259">
        <v>178273</v>
      </c>
      <c r="AZ103" s="259">
        <v>53827</v>
      </c>
      <c r="BA103" s="259">
        <v>0</v>
      </c>
      <c r="BB103" s="259">
        <v>43433</v>
      </c>
      <c r="BC103" s="259">
        <v>304223</v>
      </c>
      <c r="BD103" s="259">
        <v>289861</v>
      </c>
      <c r="BE103" s="259">
        <v>342003</v>
      </c>
      <c r="BF103" s="259">
        <v>292569</v>
      </c>
    </row>
    <row r="104" spans="1:58" x14ac:dyDescent="0.3">
      <c r="A104" s="265" t="s">
        <v>878</v>
      </c>
      <c r="B104" s="257">
        <v>0</v>
      </c>
      <c r="C104" s="257">
        <v>0</v>
      </c>
      <c r="D104" s="257">
        <v>0</v>
      </c>
      <c r="E104" s="257">
        <v>0</v>
      </c>
      <c r="F104" s="257">
        <v>0</v>
      </c>
      <c r="G104" s="257">
        <v>0</v>
      </c>
      <c r="H104" s="257">
        <v>0</v>
      </c>
      <c r="I104" s="257">
        <v>0</v>
      </c>
      <c r="J104" s="257">
        <v>0</v>
      </c>
      <c r="K104" s="257">
        <v>0</v>
      </c>
      <c r="L104" s="257">
        <v>0</v>
      </c>
      <c r="M104" s="257">
        <v>0</v>
      </c>
      <c r="N104" s="257">
        <v>0</v>
      </c>
      <c r="O104" s="257">
        <v>0</v>
      </c>
      <c r="P104" s="257">
        <v>0</v>
      </c>
      <c r="Q104" s="257">
        <v>0</v>
      </c>
      <c r="R104" s="257">
        <v>0</v>
      </c>
      <c r="S104" s="257">
        <v>0</v>
      </c>
      <c r="T104" s="257">
        <v>0</v>
      </c>
      <c r="U104" s="257">
        <v>0</v>
      </c>
      <c r="V104" s="257">
        <v>0</v>
      </c>
      <c r="W104" s="257">
        <v>0</v>
      </c>
      <c r="X104" s="257">
        <v>0</v>
      </c>
      <c r="Y104" s="257">
        <v>0</v>
      </c>
      <c r="Z104" s="257">
        <v>0</v>
      </c>
      <c r="AA104" s="257">
        <v>0</v>
      </c>
      <c r="AB104" s="257">
        <v>0</v>
      </c>
      <c r="AC104" s="257">
        <v>0</v>
      </c>
      <c r="AD104" s="257">
        <v>0</v>
      </c>
      <c r="AE104" s="257">
        <v>0</v>
      </c>
      <c r="AF104" s="257">
        <v>0</v>
      </c>
      <c r="AG104" s="257">
        <v>0</v>
      </c>
      <c r="AH104" s="257">
        <v>0</v>
      </c>
      <c r="AI104" s="257">
        <v>0</v>
      </c>
      <c r="AJ104" s="257">
        <v>0</v>
      </c>
      <c r="AK104" s="257">
        <v>0</v>
      </c>
      <c r="AL104" s="257">
        <v>0</v>
      </c>
      <c r="AM104" s="257">
        <v>0</v>
      </c>
      <c r="AN104" s="257">
        <v>0</v>
      </c>
      <c r="AO104" s="257">
        <v>0</v>
      </c>
      <c r="AP104" s="257">
        <v>0</v>
      </c>
      <c r="AQ104" s="257">
        <v>0</v>
      </c>
      <c r="AR104" s="257">
        <v>0</v>
      </c>
      <c r="AS104" s="257">
        <v>0</v>
      </c>
      <c r="AT104" s="257">
        <v>0</v>
      </c>
      <c r="AU104" s="257">
        <v>0</v>
      </c>
      <c r="AV104" s="257">
        <v>0</v>
      </c>
      <c r="AW104" s="257">
        <v>0</v>
      </c>
      <c r="AX104" s="257">
        <v>0</v>
      </c>
      <c r="AY104" s="257">
        <v>0</v>
      </c>
      <c r="AZ104" s="257">
        <v>0</v>
      </c>
      <c r="BA104" s="257">
        <v>0</v>
      </c>
      <c r="BB104" s="257">
        <v>0</v>
      </c>
      <c r="BC104" s="257">
        <v>0</v>
      </c>
      <c r="BD104" s="257">
        <v>0</v>
      </c>
      <c r="BE104" s="257">
        <v>0</v>
      </c>
      <c r="BF104" s="257">
        <v>0</v>
      </c>
    </row>
    <row r="105" spans="1:58" x14ac:dyDescent="0.3">
      <c r="A105" s="265" t="s">
        <v>879</v>
      </c>
      <c r="B105" s="256" t="s">
        <v>792</v>
      </c>
      <c r="C105" s="256" t="s">
        <v>792</v>
      </c>
      <c r="D105" s="256" t="s">
        <v>792</v>
      </c>
      <c r="E105" s="256" t="s">
        <v>792</v>
      </c>
      <c r="F105" s="257">
        <v>0</v>
      </c>
      <c r="G105" s="257">
        <v>0</v>
      </c>
      <c r="H105" s="257">
        <v>0</v>
      </c>
      <c r="I105" s="257">
        <v>0</v>
      </c>
      <c r="J105" s="257">
        <v>0</v>
      </c>
      <c r="K105" s="257">
        <v>0</v>
      </c>
      <c r="L105" s="257">
        <v>0</v>
      </c>
      <c r="M105" s="257">
        <v>0</v>
      </c>
      <c r="N105" s="257">
        <v>0</v>
      </c>
      <c r="O105" s="257">
        <v>0</v>
      </c>
      <c r="P105" s="257">
        <v>0</v>
      </c>
      <c r="Q105" s="257">
        <v>0</v>
      </c>
      <c r="R105" s="257">
        <v>0</v>
      </c>
      <c r="S105" s="257">
        <v>0</v>
      </c>
      <c r="T105" s="257">
        <v>0</v>
      </c>
      <c r="U105" s="257">
        <v>0</v>
      </c>
      <c r="V105" s="257">
        <v>0</v>
      </c>
      <c r="W105" s="257">
        <v>0</v>
      </c>
      <c r="X105" s="257">
        <v>0</v>
      </c>
      <c r="Y105" s="257">
        <v>0</v>
      </c>
      <c r="Z105" s="257">
        <v>0</v>
      </c>
      <c r="AA105" s="257">
        <v>0</v>
      </c>
      <c r="AB105" s="257">
        <v>0</v>
      </c>
      <c r="AC105" s="257">
        <v>0</v>
      </c>
      <c r="AD105" s="257">
        <v>0</v>
      </c>
      <c r="AE105" s="257">
        <v>0</v>
      </c>
      <c r="AF105" s="257">
        <v>0</v>
      </c>
      <c r="AG105" s="257">
        <v>0</v>
      </c>
      <c r="AH105" s="257">
        <v>0</v>
      </c>
      <c r="AI105" s="257">
        <v>0</v>
      </c>
      <c r="AJ105" s="257">
        <v>0</v>
      </c>
      <c r="AK105" s="257">
        <v>0</v>
      </c>
      <c r="AL105" s="257">
        <v>0</v>
      </c>
      <c r="AM105" s="257">
        <v>0</v>
      </c>
      <c r="AN105" s="257">
        <v>0</v>
      </c>
      <c r="AO105" s="257">
        <v>0</v>
      </c>
      <c r="AP105" s="257">
        <v>0</v>
      </c>
      <c r="AQ105" s="257">
        <v>0</v>
      </c>
      <c r="AR105" s="257">
        <v>0</v>
      </c>
      <c r="AS105" s="257">
        <v>0</v>
      </c>
      <c r="AT105" s="257">
        <v>0</v>
      </c>
      <c r="AU105" s="257">
        <v>0</v>
      </c>
      <c r="AV105" s="257">
        <v>0</v>
      </c>
      <c r="AW105" s="257">
        <v>0</v>
      </c>
      <c r="AX105" s="257">
        <v>0</v>
      </c>
      <c r="AY105" s="257">
        <v>0</v>
      </c>
      <c r="AZ105" s="257">
        <v>0</v>
      </c>
      <c r="BA105" s="257">
        <v>0</v>
      </c>
      <c r="BB105" s="257">
        <v>0</v>
      </c>
      <c r="BC105" s="257">
        <v>0</v>
      </c>
      <c r="BD105" s="257">
        <v>0</v>
      </c>
      <c r="BE105" s="257">
        <v>0</v>
      </c>
      <c r="BF105" s="257">
        <v>0</v>
      </c>
    </row>
    <row r="106" spans="1:58" x14ac:dyDescent="0.3">
      <c r="A106" s="265" t="s">
        <v>880</v>
      </c>
      <c r="B106" s="256" t="s">
        <v>792</v>
      </c>
      <c r="C106" s="256" t="s">
        <v>792</v>
      </c>
      <c r="D106" s="256" t="s">
        <v>792</v>
      </c>
      <c r="E106" s="256" t="s">
        <v>792</v>
      </c>
      <c r="F106" s="257">
        <v>0</v>
      </c>
      <c r="G106" s="257">
        <v>0</v>
      </c>
      <c r="H106" s="257">
        <v>0</v>
      </c>
      <c r="I106" s="257">
        <v>0</v>
      </c>
      <c r="J106" s="257">
        <v>0</v>
      </c>
      <c r="K106" s="257">
        <v>0</v>
      </c>
      <c r="L106" s="257">
        <v>0</v>
      </c>
      <c r="M106" s="257">
        <v>0</v>
      </c>
      <c r="N106" s="257">
        <v>0</v>
      </c>
      <c r="O106" s="257">
        <v>0</v>
      </c>
      <c r="P106" s="257">
        <v>0</v>
      </c>
      <c r="Q106" s="257">
        <v>0</v>
      </c>
      <c r="R106" s="257">
        <v>0</v>
      </c>
      <c r="S106" s="257">
        <v>0</v>
      </c>
      <c r="T106" s="257">
        <v>0</v>
      </c>
      <c r="U106" s="257">
        <v>0</v>
      </c>
      <c r="V106" s="257">
        <v>0</v>
      </c>
      <c r="W106" s="257">
        <v>0</v>
      </c>
      <c r="X106" s="257">
        <v>0</v>
      </c>
      <c r="Y106" s="257">
        <v>0</v>
      </c>
      <c r="Z106" s="257">
        <v>0</v>
      </c>
      <c r="AA106" s="257">
        <v>0</v>
      </c>
      <c r="AB106" s="257">
        <v>0</v>
      </c>
      <c r="AC106" s="257">
        <v>0</v>
      </c>
      <c r="AD106" s="257">
        <v>0</v>
      </c>
      <c r="AE106" s="257">
        <v>0</v>
      </c>
      <c r="AF106" s="257">
        <v>0</v>
      </c>
      <c r="AG106" s="257">
        <v>0</v>
      </c>
      <c r="AH106" s="257">
        <v>0</v>
      </c>
      <c r="AI106" s="257">
        <v>0</v>
      </c>
      <c r="AJ106" s="257">
        <v>0</v>
      </c>
      <c r="AK106" s="257">
        <v>0</v>
      </c>
      <c r="AL106" s="257">
        <v>0</v>
      </c>
      <c r="AM106" s="257">
        <v>0</v>
      </c>
      <c r="AN106" s="257">
        <v>0</v>
      </c>
      <c r="AO106" s="257">
        <v>0</v>
      </c>
      <c r="AP106" s="257">
        <v>0</v>
      </c>
      <c r="AQ106" s="257">
        <v>0</v>
      </c>
      <c r="AR106" s="257">
        <v>0</v>
      </c>
      <c r="AS106" s="257">
        <v>0</v>
      </c>
      <c r="AT106" s="257">
        <v>0</v>
      </c>
      <c r="AU106" s="257">
        <v>0</v>
      </c>
      <c r="AV106" s="257">
        <v>0</v>
      </c>
      <c r="AW106" s="257">
        <v>0</v>
      </c>
      <c r="AX106" s="257">
        <v>0</v>
      </c>
      <c r="AY106" s="257">
        <v>0</v>
      </c>
      <c r="AZ106" s="257">
        <v>0</v>
      </c>
      <c r="BA106" s="257">
        <v>0</v>
      </c>
      <c r="BB106" s="257">
        <v>0</v>
      </c>
      <c r="BC106" s="257">
        <v>0</v>
      </c>
      <c r="BD106" s="257">
        <v>0</v>
      </c>
      <c r="BE106" s="257">
        <v>0</v>
      </c>
      <c r="BF106" s="257">
        <v>0</v>
      </c>
    </row>
    <row r="107" spans="1:58" x14ac:dyDescent="0.3">
      <c r="A107" s="265" t="s">
        <v>798</v>
      </c>
      <c r="B107" s="256" t="s">
        <v>792</v>
      </c>
      <c r="C107" s="256" t="s">
        <v>792</v>
      </c>
      <c r="D107" s="256" t="s">
        <v>792</v>
      </c>
      <c r="E107" s="256" t="s">
        <v>792</v>
      </c>
      <c r="F107" s="257">
        <v>20069</v>
      </c>
      <c r="G107" s="257">
        <v>21659</v>
      </c>
      <c r="H107" s="257">
        <v>14685</v>
      </c>
      <c r="I107" s="257">
        <v>458</v>
      </c>
      <c r="J107" s="257">
        <v>517205</v>
      </c>
      <c r="K107" s="257">
        <v>713524</v>
      </c>
      <c r="L107" s="257">
        <v>876</v>
      </c>
      <c r="M107" s="257">
        <v>558</v>
      </c>
      <c r="N107" s="257">
        <v>4185</v>
      </c>
      <c r="O107" s="257">
        <v>58721</v>
      </c>
      <c r="P107" s="257">
        <v>25301</v>
      </c>
      <c r="Q107" s="257">
        <v>32217</v>
      </c>
      <c r="R107" s="257">
        <v>46027</v>
      </c>
      <c r="S107" s="257">
        <v>3641</v>
      </c>
      <c r="T107" s="257">
        <v>101536</v>
      </c>
      <c r="U107" s="257">
        <v>82486</v>
      </c>
      <c r="V107" s="257">
        <v>80649</v>
      </c>
      <c r="W107" s="257">
        <v>102052</v>
      </c>
      <c r="X107" s="257">
        <v>68224</v>
      </c>
      <c r="Y107" s="257">
        <v>97173</v>
      </c>
      <c r="Z107" s="257">
        <v>11835</v>
      </c>
      <c r="AA107" s="257">
        <v>11045</v>
      </c>
      <c r="AB107" s="257">
        <v>7461</v>
      </c>
      <c r="AC107" s="257">
        <v>8596</v>
      </c>
      <c r="AD107" s="257">
        <v>5111</v>
      </c>
      <c r="AE107" s="257">
        <v>7352</v>
      </c>
      <c r="AF107" s="257">
        <v>11003</v>
      </c>
      <c r="AG107" s="257">
        <v>20437</v>
      </c>
      <c r="AH107" s="257">
        <v>19629</v>
      </c>
      <c r="AI107" s="257">
        <v>6894</v>
      </c>
      <c r="AJ107" s="257">
        <v>17318</v>
      </c>
      <c r="AK107" s="257">
        <v>18226</v>
      </c>
      <c r="AL107" s="257">
        <v>23052</v>
      </c>
      <c r="AM107" s="257">
        <v>222633</v>
      </c>
      <c r="AN107" s="257">
        <v>28330</v>
      </c>
      <c r="AO107" s="257">
        <v>26008</v>
      </c>
      <c r="AP107" s="257">
        <v>12396</v>
      </c>
      <c r="AQ107" s="257">
        <v>19</v>
      </c>
      <c r="AR107" s="257">
        <v>19</v>
      </c>
      <c r="AS107" s="257">
        <v>20</v>
      </c>
      <c r="AT107" s="257">
        <v>0</v>
      </c>
      <c r="AU107" s="257">
        <v>0</v>
      </c>
      <c r="AV107" s="257">
        <v>0</v>
      </c>
      <c r="AW107" s="257">
        <v>448750</v>
      </c>
      <c r="AX107" s="257">
        <v>376684</v>
      </c>
      <c r="AY107" s="257">
        <v>178273</v>
      </c>
      <c r="AZ107" s="257">
        <v>53827</v>
      </c>
      <c r="BA107" s="257">
        <v>0</v>
      </c>
      <c r="BB107" s="257">
        <v>43433</v>
      </c>
      <c r="BC107" s="257">
        <v>304223</v>
      </c>
      <c r="BD107" s="257">
        <v>289861</v>
      </c>
      <c r="BE107" s="257">
        <v>342003</v>
      </c>
      <c r="BF107" s="257">
        <v>292569</v>
      </c>
    </row>
    <row r="108" spans="1:58" x14ac:dyDescent="0.3">
      <c r="A108" s="260" t="s">
        <v>881</v>
      </c>
      <c r="B108" s="262">
        <v>0</v>
      </c>
      <c r="C108" s="262">
        <v>0</v>
      </c>
      <c r="D108" s="262">
        <v>0</v>
      </c>
      <c r="E108" s="262">
        <v>0</v>
      </c>
      <c r="F108" s="262">
        <v>0</v>
      </c>
      <c r="G108" s="262">
        <v>0</v>
      </c>
      <c r="H108" s="262">
        <v>0</v>
      </c>
      <c r="I108" s="262">
        <v>0</v>
      </c>
      <c r="J108" s="262">
        <v>0</v>
      </c>
      <c r="K108" s="262">
        <v>0</v>
      </c>
      <c r="L108" s="262">
        <v>0</v>
      </c>
      <c r="M108" s="262">
        <v>0</v>
      </c>
      <c r="N108" s="262">
        <v>0</v>
      </c>
      <c r="O108" s="262">
        <v>0</v>
      </c>
      <c r="P108" s="262">
        <v>0</v>
      </c>
      <c r="Q108" s="262">
        <v>0</v>
      </c>
      <c r="R108" s="262">
        <v>0</v>
      </c>
      <c r="S108" s="262">
        <v>0</v>
      </c>
      <c r="T108" s="262">
        <v>0</v>
      </c>
      <c r="U108" s="262">
        <v>0</v>
      </c>
      <c r="V108" s="262">
        <v>0</v>
      </c>
      <c r="W108" s="262">
        <v>0</v>
      </c>
      <c r="X108" s="262">
        <v>0</v>
      </c>
      <c r="Y108" s="262">
        <v>0</v>
      </c>
      <c r="Z108" s="262">
        <v>0</v>
      </c>
      <c r="AA108" s="262">
        <v>0</v>
      </c>
      <c r="AB108" s="262">
        <v>0</v>
      </c>
      <c r="AC108" s="262">
        <v>0</v>
      </c>
      <c r="AD108" s="262">
        <v>0</v>
      </c>
      <c r="AE108" s="262">
        <v>0</v>
      </c>
      <c r="AF108" s="262">
        <v>0</v>
      </c>
      <c r="AG108" s="262">
        <v>0</v>
      </c>
      <c r="AH108" s="262">
        <v>0</v>
      </c>
      <c r="AI108" s="262">
        <v>0</v>
      </c>
      <c r="AJ108" s="262">
        <v>0</v>
      </c>
      <c r="AK108" s="262">
        <v>0</v>
      </c>
      <c r="AL108" s="262">
        <v>0</v>
      </c>
      <c r="AM108" s="262">
        <v>0</v>
      </c>
      <c r="AN108" s="262">
        <v>0</v>
      </c>
      <c r="AO108" s="262">
        <v>0</v>
      </c>
      <c r="AP108" s="262">
        <v>0</v>
      </c>
      <c r="AQ108" s="262">
        <v>0</v>
      </c>
      <c r="AR108" s="262">
        <v>0</v>
      </c>
      <c r="AS108" s="262">
        <v>0</v>
      </c>
      <c r="AT108" s="262">
        <v>0</v>
      </c>
      <c r="AU108" s="262">
        <v>0</v>
      </c>
      <c r="AV108" s="262">
        <v>0</v>
      </c>
      <c r="AW108" s="262">
        <v>0</v>
      </c>
      <c r="AX108" s="262">
        <v>0</v>
      </c>
      <c r="AY108" s="262">
        <v>0</v>
      </c>
      <c r="AZ108" s="262">
        <v>0</v>
      </c>
      <c r="BA108" s="262">
        <v>0</v>
      </c>
      <c r="BB108" s="262">
        <v>0</v>
      </c>
      <c r="BC108" s="262">
        <v>0</v>
      </c>
      <c r="BD108" s="262">
        <v>0</v>
      </c>
      <c r="BE108" s="262">
        <v>0</v>
      </c>
      <c r="BF108" s="262">
        <v>0</v>
      </c>
    </row>
    <row r="109" spans="1:58" x14ac:dyDescent="0.3">
      <c r="A109" s="263" t="s">
        <v>882</v>
      </c>
      <c r="B109" s="264" t="s">
        <v>792</v>
      </c>
      <c r="C109" s="259">
        <v>0</v>
      </c>
      <c r="D109" s="259">
        <v>0</v>
      </c>
      <c r="E109" s="259">
        <v>0</v>
      </c>
      <c r="F109" s="259">
        <v>0</v>
      </c>
      <c r="G109" s="259">
        <v>0</v>
      </c>
      <c r="H109" s="259">
        <v>0</v>
      </c>
      <c r="I109" s="259">
        <v>0</v>
      </c>
      <c r="J109" s="259">
        <v>0</v>
      </c>
      <c r="K109" s="259">
        <v>0</v>
      </c>
      <c r="L109" s="259">
        <v>0</v>
      </c>
      <c r="M109" s="259">
        <v>0</v>
      </c>
      <c r="N109" s="259">
        <v>0</v>
      </c>
      <c r="O109" s="259">
        <v>0</v>
      </c>
      <c r="P109" s="259">
        <v>0</v>
      </c>
      <c r="Q109" s="259">
        <v>0</v>
      </c>
      <c r="R109" s="259">
        <v>0</v>
      </c>
      <c r="S109" s="259">
        <v>0</v>
      </c>
      <c r="T109" s="259">
        <v>0</v>
      </c>
      <c r="U109" s="259">
        <v>0</v>
      </c>
      <c r="V109" s="259">
        <v>0</v>
      </c>
      <c r="W109" s="259">
        <v>0</v>
      </c>
      <c r="X109" s="259">
        <v>0</v>
      </c>
      <c r="Y109" s="259">
        <v>0</v>
      </c>
      <c r="Z109" s="259">
        <v>0</v>
      </c>
      <c r="AA109" s="259">
        <v>0</v>
      </c>
      <c r="AB109" s="259">
        <v>0</v>
      </c>
      <c r="AC109" s="259">
        <v>0</v>
      </c>
      <c r="AD109" s="259">
        <v>0</v>
      </c>
      <c r="AE109" s="259">
        <v>0</v>
      </c>
      <c r="AF109" s="259">
        <v>0</v>
      </c>
      <c r="AG109" s="259">
        <v>0</v>
      </c>
      <c r="AH109" s="259">
        <v>0</v>
      </c>
      <c r="AI109" s="259">
        <v>0</v>
      </c>
      <c r="AJ109" s="259">
        <v>0</v>
      </c>
      <c r="AK109" s="259">
        <v>0</v>
      </c>
      <c r="AL109" s="259">
        <v>0</v>
      </c>
      <c r="AM109" s="259">
        <v>0</v>
      </c>
      <c r="AN109" s="259">
        <v>0</v>
      </c>
      <c r="AO109" s="259">
        <v>0</v>
      </c>
      <c r="AP109" s="259">
        <v>0</v>
      </c>
      <c r="AQ109" s="259">
        <v>0</v>
      </c>
      <c r="AR109" s="259">
        <v>0</v>
      </c>
      <c r="AS109" s="259">
        <v>0</v>
      </c>
      <c r="AT109" s="259">
        <v>0</v>
      </c>
      <c r="AU109" s="259">
        <v>0</v>
      </c>
      <c r="AV109" s="259">
        <v>0</v>
      </c>
      <c r="AW109" s="259">
        <v>0</v>
      </c>
      <c r="AX109" s="259">
        <v>0</v>
      </c>
      <c r="AY109" s="259">
        <v>0</v>
      </c>
      <c r="AZ109" s="259">
        <v>0</v>
      </c>
      <c r="BA109" s="259">
        <v>0</v>
      </c>
      <c r="BB109" s="259">
        <v>0</v>
      </c>
      <c r="BC109" s="259">
        <v>0</v>
      </c>
      <c r="BD109" s="259">
        <v>0</v>
      </c>
      <c r="BE109" s="259">
        <v>0</v>
      </c>
      <c r="BF109" s="259">
        <v>0</v>
      </c>
    </row>
    <row r="110" spans="1:58" x14ac:dyDescent="0.3">
      <c r="A110" s="265" t="s">
        <v>883</v>
      </c>
      <c r="B110" s="256" t="s">
        <v>792</v>
      </c>
      <c r="C110" s="257">
        <v>0</v>
      </c>
      <c r="D110" s="257">
        <v>0</v>
      </c>
      <c r="E110" s="257">
        <v>0</v>
      </c>
      <c r="F110" s="257">
        <v>0</v>
      </c>
      <c r="G110" s="257">
        <v>0</v>
      </c>
      <c r="H110" s="257">
        <v>0</v>
      </c>
      <c r="I110" s="257">
        <v>0</v>
      </c>
      <c r="J110" s="257">
        <v>0</v>
      </c>
      <c r="K110" s="257">
        <v>0</v>
      </c>
      <c r="L110" s="257">
        <v>0</v>
      </c>
      <c r="M110" s="257">
        <v>0</v>
      </c>
      <c r="N110" s="257">
        <v>0</v>
      </c>
      <c r="O110" s="257">
        <v>0</v>
      </c>
      <c r="P110" s="257">
        <v>0</v>
      </c>
      <c r="Q110" s="257">
        <v>0</v>
      </c>
      <c r="R110" s="257">
        <v>0</v>
      </c>
      <c r="S110" s="257">
        <v>0</v>
      </c>
      <c r="T110" s="257">
        <v>0</v>
      </c>
      <c r="U110" s="257">
        <v>0</v>
      </c>
      <c r="V110" s="257">
        <v>0</v>
      </c>
      <c r="W110" s="257">
        <v>0</v>
      </c>
      <c r="X110" s="257">
        <v>0</v>
      </c>
      <c r="Y110" s="257">
        <v>0</v>
      </c>
      <c r="Z110" s="257">
        <v>0</v>
      </c>
      <c r="AA110" s="257">
        <v>0</v>
      </c>
      <c r="AB110" s="257">
        <v>0</v>
      </c>
      <c r="AC110" s="257">
        <v>0</v>
      </c>
      <c r="AD110" s="257">
        <v>0</v>
      </c>
      <c r="AE110" s="257">
        <v>0</v>
      </c>
      <c r="AF110" s="257">
        <v>0</v>
      </c>
      <c r="AG110" s="257">
        <v>0</v>
      </c>
      <c r="AH110" s="257">
        <v>0</v>
      </c>
      <c r="AI110" s="257">
        <v>0</v>
      </c>
      <c r="AJ110" s="257">
        <v>0</v>
      </c>
      <c r="AK110" s="257">
        <v>0</v>
      </c>
      <c r="AL110" s="257">
        <v>0</v>
      </c>
      <c r="AM110" s="257">
        <v>0</v>
      </c>
      <c r="AN110" s="257">
        <v>0</v>
      </c>
      <c r="AO110" s="257">
        <v>0</v>
      </c>
      <c r="AP110" s="257">
        <v>0</v>
      </c>
      <c r="AQ110" s="257">
        <v>0</v>
      </c>
      <c r="AR110" s="257">
        <v>0</v>
      </c>
      <c r="AS110" s="257">
        <v>0</v>
      </c>
      <c r="AT110" s="257">
        <v>0</v>
      </c>
      <c r="AU110" s="257">
        <v>0</v>
      </c>
      <c r="AV110" s="257">
        <v>0</v>
      </c>
      <c r="AW110" s="257">
        <v>0</v>
      </c>
      <c r="AX110" s="257">
        <v>0</v>
      </c>
      <c r="AY110" s="257">
        <v>0</v>
      </c>
      <c r="AZ110" s="257">
        <v>0</v>
      </c>
      <c r="BA110" s="257">
        <v>0</v>
      </c>
      <c r="BB110" s="257">
        <v>0</v>
      </c>
      <c r="BC110" s="257">
        <v>0</v>
      </c>
      <c r="BD110" s="257">
        <v>0</v>
      </c>
      <c r="BE110" s="257">
        <v>0</v>
      </c>
      <c r="BF110" s="257">
        <v>0</v>
      </c>
    </row>
    <row r="111" spans="1:58" x14ac:dyDescent="0.3">
      <c r="A111" s="265" t="s">
        <v>884</v>
      </c>
      <c r="B111" s="256" t="s">
        <v>792</v>
      </c>
      <c r="C111" s="257">
        <v>0</v>
      </c>
      <c r="D111" s="257">
        <v>0</v>
      </c>
      <c r="E111" s="257">
        <v>0</v>
      </c>
      <c r="F111" s="257">
        <v>0</v>
      </c>
      <c r="G111" s="257">
        <v>0</v>
      </c>
      <c r="H111" s="257">
        <v>0</v>
      </c>
      <c r="I111" s="257">
        <v>0</v>
      </c>
      <c r="J111" s="257">
        <v>0</v>
      </c>
      <c r="K111" s="257">
        <v>0</v>
      </c>
      <c r="L111" s="257">
        <v>0</v>
      </c>
      <c r="M111" s="257">
        <v>0</v>
      </c>
      <c r="N111" s="257">
        <v>0</v>
      </c>
      <c r="O111" s="257">
        <v>0</v>
      </c>
      <c r="P111" s="257">
        <v>0</v>
      </c>
      <c r="Q111" s="257">
        <v>0</v>
      </c>
      <c r="R111" s="257">
        <v>0</v>
      </c>
      <c r="S111" s="257">
        <v>0</v>
      </c>
      <c r="T111" s="257">
        <v>0</v>
      </c>
      <c r="U111" s="257">
        <v>0</v>
      </c>
      <c r="V111" s="257">
        <v>0</v>
      </c>
      <c r="W111" s="257">
        <v>0</v>
      </c>
      <c r="X111" s="257">
        <v>0</v>
      </c>
      <c r="Y111" s="257">
        <v>0</v>
      </c>
      <c r="Z111" s="257">
        <v>0</v>
      </c>
      <c r="AA111" s="257">
        <v>0</v>
      </c>
      <c r="AB111" s="257">
        <v>0</v>
      </c>
      <c r="AC111" s="257">
        <v>0</v>
      </c>
      <c r="AD111" s="257">
        <v>0</v>
      </c>
      <c r="AE111" s="257">
        <v>0</v>
      </c>
      <c r="AF111" s="257">
        <v>0</v>
      </c>
      <c r="AG111" s="257">
        <v>0</v>
      </c>
      <c r="AH111" s="257">
        <v>0</v>
      </c>
      <c r="AI111" s="257">
        <v>0</v>
      </c>
      <c r="AJ111" s="257">
        <v>0</v>
      </c>
      <c r="AK111" s="257">
        <v>0</v>
      </c>
      <c r="AL111" s="257">
        <v>0</v>
      </c>
      <c r="AM111" s="257">
        <v>0</v>
      </c>
      <c r="AN111" s="257">
        <v>0</v>
      </c>
      <c r="AO111" s="257">
        <v>0</v>
      </c>
      <c r="AP111" s="257">
        <v>0</v>
      </c>
      <c r="AQ111" s="257">
        <v>0</v>
      </c>
      <c r="AR111" s="257">
        <v>0</v>
      </c>
      <c r="AS111" s="257">
        <v>0</v>
      </c>
      <c r="AT111" s="257">
        <v>0</v>
      </c>
      <c r="AU111" s="257">
        <v>0</v>
      </c>
      <c r="AV111" s="257">
        <v>0</v>
      </c>
      <c r="AW111" s="257">
        <v>0</v>
      </c>
      <c r="AX111" s="257">
        <v>0</v>
      </c>
      <c r="AY111" s="257">
        <v>0</v>
      </c>
      <c r="AZ111" s="257">
        <v>0</v>
      </c>
      <c r="BA111" s="257">
        <v>0</v>
      </c>
      <c r="BB111" s="257">
        <v>0</v>
      </c>
      <c r="BC111" s="257">
        <v>0</v>
      </c>
      <c r="BD111" s="257">
        <v>0</v>
      </c>
      <c r="BE111" s="257">
        <v>0</v>
      </c>
      <c r="BF111" s="257">
        <v>0</v>
      </c>
    </row>
    <row r="112" spans="1:58" x14ac:dyDescent="0.3">
      <c r="A112" s="265" t="s">
        <v>885</v>
      </c>
      <c r="B112" s="256" t="s">
        <v>792</v>
      </c>
      <c r="C112" s="257">
        <v>0</v>
      </c>
      <c r="D112" s="257">
        <v>0</v>
      </c>
      <c r="E112" s="257">
        <v>0</v>
      </c>
      <c r="F112" s="257">
        <v>0</v>
      </c>
      <c r="G112" s="257">
        <v>0</v>
      </c>
      <c r="H112" s="257">
        <v>0</v>
      </c>
      <c r="I112" s="257">
        <v>0</v>
      </c>
      <c r="J112" s="257">
        <v>0</v>
      </c>
      <c r="K112" s="257">
        <v>0</v>
      </c>
      <c r="L112" s="257">
        <v>0</v>
      </c>
      <c r="M112" s="257">
        <v>0</v>
      </c>
      <c r="N112" s="257">
        <v>0</v>
      </c>
      <c r="O112" s="257">
        <v>0</v>
      </c>
      <c r="P112" s="257">
        <v>0</v>
      </c>
      <c r="Q112" s="257">
        <v>0</v>
      </c>
      <c r="R112" s="257">
        <v>0</v>
      </c>
      <c r="S112" s="257">
        <v>0</v>
      </c>
      <c r="T112" s="257">
        <v>0</v>
      </c>
      <c r="U112" s="257">
        <v>0</v>
      </c>
      <c r="V112" s="257">
        <v>0</v>
      </c>
      <c r="W112" s="257">
        <v>0</v>
      </c>
      <c r="X112" s="257">
        <v>0</v>
      </c>
      <c r="Y112" s="257">
        <v>0</v>
      </c>
      <c r="Z112" s="257">
        <v>0</v>
      </c>
      <c r="AA112" s="257">
        <v>0</v>
      </c>
      <c r="AB112" s="257">
        <v>0</v>
      </c>
      <c r="AC112" s="257">
        <v>0</v>
      </c>
      <c r="AD112" s="257">
        <v>0</v>
      </c>
      <c r="AE112" s="257">
        <v>0</v>
      </c>
      <c r="AF112" s="257">
        <v>0</v>
      </c>
      <c r="AG112" s="257">
        <v>0</v>
      </c>
      <c r="AH112" s="257">
        <v>0</v>
      </c>
      <c r="AI112" s="257">
        <v>0</v>
      </c>
      <c r="AJ112" s="257">
        <v>0</v>
      </c>
      <c r="AK112" s="257">
        <v>0</v>
      </c>
      <c r="AL112" s="257">
        <v>0</v>
      </c>
      <c r="AM112" s="257">
        <v>0</v>
      </c>
      <c r="AN112" s="257">
        <v>0</v>
      </c>
      <c r="AO112" s="257">
        <v>0</v>
      </c>
      <c r="AP112" s="257">
        <v>0</v>
      </c>
      <c r="AQ112" s="257">
        <v>0</v>
      </c>
      <c r="AR112" s="257">
        <v>0</v>
      </c>
      <c r="AS112" s="257">
        <v>0</v>
      </c>
      <c r="AT112" s="257">
        <v>0</v>
      </c>
      <c r="AU112" s="257">
        <v>0</v>
      </c>
      <c r="AV112" s="257">
        <v>0</v>
      </c>
      <c r="AW112" s="257">
        <v>0</v>
      </c>
      <c r="AX112" s="257">
        <v>0</v>
      </c>
      <c r="AY112" s="257">
        <v>0</v>
      </c>
      <c r="AZ112" s="257">
        <v>0</v>
      </c>
      <c r="BA112" s="257">
        <v>0</v>
      </c>
      <c r="BB112" s="257">
        <v>0</v>
      </c>
      <c r="BC112" s="257">
        <v>0</v>
      </c>
      <c r="BD112" s="257">
        <v>0</v>
      </c>
      <c r="BE112" s="257">
        <v>0</v>
      </c>
      <c r="BF112" s="257">
        <v>0</v>
      </c>
    </row>
    <row r="113" spans="1:58" x14ac:dyDescent="0.3">
      <c r="A113" s="265" t="s">
        <v>886</v>
      </c>
      <c r="B113" s="256" t="s">
        <v>792</v>
      </c>
      <c r="C113" s="257">
        <v>0</v>
      </c>
      <c r="D113" s="257">
        <v>0</v>
      </c>
      <c r="E113" s="257">
        <v>0</v>
      </c>
      <c r="F113" s="257">
        <v>0</v>
      </c>
      <c r="G113" s="257">
        <v>0</v>
      </c>
      <c r="H113" s="257">
        <v>0</v>
      </c>
      <c r="I113" s="257">
        <v>0</v>
      </c>
      <c r="J113" s="257">
        <v>0</v>
      </c>
      <c r="K113" s="257">
        <v>0</v>
      </c>
      <c r="L113" s="257">
        <v>0</v>
      </c>
      <c r="M113" s="257">
        <v>0</v>
      </c>
      <c r="N113" s="257">
        <v>0</v>
      </c>
      <c r="O113" s="257">
        <v>0</v>
      </c>
      <c r="P113" s="257">
        <v>0</v>
      </c>
      <c r="Q113" s="257">
        <v>0</v>
      </c>
      <c r="R113" s="257">
        <v>0</v>
      </c>
      <c r="S113" s="257">
        <v>0</v>
      </c>
      <c r="T113" s="257">
        <v>0</v>
      </c>
      <c r="U113" s="257">
        <v>0</v>
      </c>
      <c r="V113" s="257">
        <v>0</v>
      </c>
      <c r="W113" s="257">
        <v>0</v>
      </c>
      <c r="X113" s="257">
        <v>0</v>
      </c>
      <c r="Y113" s="257">
        <v>0</v>
      </c>
      <c r="Z113" s="257">
        <v>0</v>
      </c>
      <c r="AA113" s="257">
        <v>0</v>
      </c>
      <c r="AB113" s="257">
        <v>0</v>
      </c>
      <c r="AC113" s="257">
        <v>0</v>
      </c>
      <c r="AD113" s="257">
        <v>0</v>
      </c>
      <c r="AE113" s="257">
        <v>0</v>
      </c>
      <c r="AF113" s="257">
        <v>0</v>
      </c>
      <c r="AG113" s="257">
        <v>0</v>
      </c>
      <c r="AH113" s="257">
        <v>0</v>
      </c>
      <c r="AI113" s="257">
        <v>0</v>
      </c>
      <c r="AJ113" s="257">
        <v>0</v>
      </c>
      <c r="AK113" s="257">
        <v>0</v>
      </c>
      <c r="AL113" s="257">
        <v>0</v>
      </c>
      <c r="AM113" s="257">
        <v>0</v>
      </c>
      <c r="AN113" s="257">
        <v>0</v>
      </c>
      <c r="AO113" s="257">
        <v>0</v>
      </c>
      <c r="AP113" s="257">
        <v>0</v>
      </c>
      <c r="AQ113" s="257">
        <v>0</v>
      </c>
      <c r="AR113" s="257">
        <v>0</v>
      </c>
      <c r="AS113" s="257">
        <v>0</v>
      </c>
      <c r="AT113" s="257">
        <v>0</v>
      </c>
      <c r="AU113" s="257">
        <v>0</v>
      </c>
      <c r="AV113" s="257">
        <v>0</v>
      </c>
      <c r="AW113" s="257">
        <v>0</v>
      </c>
      <c r="AX113" s="257">
        <v>0</v>
      </c>
      <c r="AY113" s="257">
        <v>0</v>
      </c>
      <c r="AZ113" s="257">
        <v>0</v>
      </c>
      <c r="BA113" s="257">
        <v>0</v>
      </c>
      <c r="BB113" s="257">
        <v>0</v>
      </c>
      <c r="BC113" s="257">
        <v>0</v>
      </c>
      <c r="BD113" s="257">
        <v>0</v>
      </c>
      <c r="BE113" s="257">
        <v>0</v>
      </c>
      <c r="BF113" s="257">
        <v>0</v>
      </c>
    </row>
    <row r="114" spans="1:58" x14ac:dyDescent="0.3">
      <c r="A114" s="265" t="s">
        <v>798</v>
      </c>
      <c r="B114" s="256" t="s">
        <v>792</v>
      </c>
      <c r="C114" s="257">
        <v>0</v>
      </c>
      <c r="D114" s="257">
        <v>0</v>
      </c>
      <c r="E114" s="257">
        <v>0</v>
      </c>
      <c r="F114" s="257">
        <v>0</v>
      </c>
      <c r="G114" s="257">
        <v>0</v>
      </c>
      <c r="H114" s="257">
        <v>0</v>
      </c>
      <c r="I114" s="257">
        <v>0</v>
      </c>
      <c r="J114" s="257">
        <v>0</v>
      </c>
      <c r="K114" s="257">
        <v>0</v>
      </c>
      <c r="L114" s="257">
        <v>0</v>
      </c>
      <c r="M114" s="257">
        <v>0</v>
      </c>
      <c r="N114" s="257">
        <v>0</v>
      </c>
      <c r="O114" s="257">
        <v>0</v>
      </c>
      <c r="P114" s="257">
        <v>0</v>
      </c>
      <c r="Q114" s="257">
        <v>0</v>
      </c>
      <c r="R114" s="257">
        <v>0</v>
      </c>
      <c r="S114" s="257">
        <v>0</v>
      </c>
      <c r="T114" s="257">
        <v>0</v>
      </c>
      <c r="U114" s="257">
        <v>0</v>
      </c>
      <c r="V114" s="257">
        <v>0</v>
      </c>
      <c r="W114" s="257">
        <v>0</v>
      </c>
      <c r="X114" s="257">
        <v>0</v>
      </c>
      <c r="Y114" s="257">
        <v>0</v>
      </c>
      <c r="Z114" s="257">
        <v>0</v>
      </c>
      <c r="AA114" s="257">
        <v>0</v>
      </c>
      <c r="AB114" s="257">
        <v>0</v>
      </c>
      <c r="AC114" s="257">
        <v>0</v>
      </c>
      <c r="AD114" s="257">
        <v>0</v>
      </c>
      <c r="AE114" s="257">
        <v>0</v>
      </c>
      <c r="AF114" s="257">
        <v>0</v>
      </c>
      <c r="AG114" s="257">
        <v>0</v>
      </c>
      <c r="AH114" s="257">
        <v>0</v>
      </c>
      <c r="AI114" s="257">
        <v>0</v>
      </c>
      <c r="AJ114" s="257">
        <v>0</v>
      </c>
      <c r="AK114" s="257">
        <v>0</v>
      </c>
      <c r="AL114" s="257">
        <v>0</v>
      </c>
      <c r="AM114" s="257">
        <v>0</v>
      </c>
      <c r="AN114" s="257">
        <v>0</v>
      </c>
      <c r="AO114" s="257">
        <v>0</v>
      </c>
      <c r="AP114" s="257">
        <v>0</v>
      </c>
      <c r="AQ114" s="257">
        <v>0</v>
      </c>
      <c r="AR114" s="257">
        <v>0</v>
      </c>
      <c r="AS114" s="257">
        <v>0</v>
      </c>
      <c r="AT114" s="257">
        <v>0</v>
      </c>
      <c r="AU114" s="257">
        <v>0</v>
      </c>
      <c r="AV114" s="257">
        <v>0</v>
      </c>
      <c r="AW114" s="257">
        <v>0</v>
      </c>
      <c r="AX114" s="257">
        <v>0</v>
      </c>
      <c r="AY114" s="257">
        <v>0</v>
      </c>
      <c r="AZ114" s="257">
        <v>0</v>
      </c>
      <c r="BA114" s="257">
        <v>0</v>
      </c>
      <c r="BB114" s="257">
        <v>0</v>
      </c>
      <c r="BC114" s="257">
        <v>0</v>
      </c>
      <c r="BD114" s="257">
        <v>0</v>
      </c>
      <c r="BE114" s="257">
        <v>0</v>
      </c>
      <c r="BF114" s="257">
        <v>0</v>
      </c>
    </row>
    <row r="115" spans="1:58" x14ac:dyDescent="0.3">
      <c r="A115" s="263" t="s">
        <v>887</v>
      </c>
      <c r="B115" s="264" t="s">
        <v>792</v>
      </c>
      <c r="C115" s="259">
        <v>0</v>
      </c>
      <c r="D115" s="259">
        <v>0</v>
      </c>
      <c r="E115" s="259">
        <v>0</v>
      </c>
      <c r="F115" s="259">
        <v>0</v>
      </c>
      <c r="G115" s="259">
        <v>0</v>
      </c>
      <c r="H115" s="259">
        <v>0</v>
      </c>
      <c r="I115" s="259">
        <v>0</v>
      </c>
      <c r="J115" s="259">
        <v>0</v>
      </c>
      <c r="K115" s="259">
        <v>0</v>
      </c>
      <c r="L115" s="259">
        <v>0</v>
      </c>
      <c r="M115" s="259">
        <v>0</v>
      </c>
      <c r="N115" s="259">
        <v>0</v>
      </c>
      <c r="O115" s="259">
        <v>0</v>
      </c>
      <c r="P115" s="259">
        <v>0</v>
      </c>
      <c r="Q115" s="259">
        <v>0</v>
      </c>
      <c r="R115" s="259">
        <v>0</v>
      </c>
      <c r="S115" s="259">
        <v>0</v>
      </c>
      <c r="T115" s="259">
        <v>0</v>
      </c>
      <c r="U115" s="259">
        <v>0</v>
      </c>
      <c r="V115" s="259">
        <v>0</v>
      </c>
      <c r="W115" s="259">
        <v>0</v>
      </c>
      <c r="X115" s="259">
        <v>0</v>
      </c>
      <c r="Y115" s="259">
        <v>0</v>
      </c>
      <c r="Z115" s="259">
        <v>0</v>
      </c>
      <c r="AA115" s="259">
        <v>0</v>
      </c>
      <c r="AB115" s="259">
        <v>0</v>
      </c>
      <c r="AC115" s="259">
        <v>0</v>
      </c>
      <c r="AD115" s="259">
        <v>0</v>
      </c>
      <c r="AE115" s="259">
        <v>0</v>
      </c>
      <c r="AF115" s="259">
        <v>0</v>
      </c>
      <c r="AG115" s="259">
        <v>0</v>
      </c>
      <c r="AH115" s="259">
        <v>0</v>
      </c>
      <c r="AI115" s="259">
        <v>0</v>
      </c>
      <c r="AJ115" s="259">
        <v>0</v>
      </c>
      <c r="AK115" s="259">
        <v>0</v>
      </c>
      <c r="AL115" s="259">
        <v>0</v>
      </c>
      <c r="AM115" s="259">
        <v>0</v>
      </c>
      <c r="AN115" s="259">
        <v>0</v>
      </c>
      <c r="AO115" s="259">
        <v>0</v>
      </c>
      <c r="AP115" s="259">
        <v>0</v>
      </c>
      <c r="AQ115" s="259">
        <v>0</v>
      </c>
      <c r="AR115" s="259">
        <v>0</v>
      </c>
      <c r="AS115" s="259">
        <v>0</v>
      </c>
      <c r="AT115" s="259">
        <v>0</v>
      </c>
      <c r="AU115" s="259">
        <v>0</v>
      </c>
      <c r="AV115" s="259">
        <v>0</v>
      </c>
      <c r="AW115" s="259">
        <v>0</v>
      </c>
      <c r="AX115" s="259">
        <v>0</v>
      </c>
      <c r="AY115" s="259">
        <v>0</v>
      </c>
      <c r="AZ115" s="259">
        <v>0</v>
      </c>
      <c r="BA115" s="259">
        <v>0</v>
      </c>
      <c r="BB115" s="259">
        <v>0</v>
      </c>
      <c r="BC115" s="259">
        <v>0</v>
      </c>
      <c r="BD115" s="259">
        <v>0</v>
      </c>
      <c r="BE115" s="259">
        <v>0</v>
      </c>
      <c r="BF115" s="259">
        <v>0</v>
      </c>
    </row>
    <row r="116" spans="1:58" x14ac:dyDescent="0.3">
      <c r="A116" s="265" t="s">
        <v>888</v>
      </c>
      <c r="B116" s="256" t="s">
        <v>792</v>
      </c>
      <c r="C116" s="257">
        <v>0</v>
      </c>
      <c r="D116" s="257">
        <v>0</v>
      </c>
      <c r="E116" s="257">
        <v>0</v>
      </c>
      <c r="F116" s="257">
        <v>0</v>
      </c>
      <c r="G116" s="257">
        <v>0</v>
      </c>
      <c r="H116" s="257">
        <v>0</v>
      </c>
      <c r="I116" s="257">
        <v>0</v>
      </c>
      <c r="J116" s="257">
        <v>0</v>
      </c>
      <c r="K116" s="257">
        <v>0</v>
      </c>
      <c r="L116" s="257">
        <v>0</v>
      </c>
      <c r="M116" s="257">
        <v>0</v>
      </c>
      <c r="N116" s="257">
        <v>0</v>
      </c>
      <c r="O116" s="257">
        <v>0</v>
      </c>
      <c r="P116" s="257">
        <v>0</v>
      </c>
      <c r="Q116" s="257">
        <v>0</v>
      </c>
      <c r="R116" s="257">
        <v>0</v>
      </c>
      <c r="S116" s="257">
        <v>0</v>
      </c>
      <c r="T116" s="257">
        <v>0</v>
      </c>
      <c r="U116" s="257">
        <v>0</v>
      </c>
      <c r="V116" s="257">
        <v>0</v>
      </c>
      <c r="W116" s="257">
        <v>0</v>
      </c>
      <c r="X116" s="257">
        <v>0</v>
      </c>
      <c r="Y116" s="257">
        <v>0</v>
      </c>
      <c r="Z116" s="257">
        <v>0</v>
      </c>
      <c r="AA116" s="257">
        <v>0</v>
      </c>
      <c r="AB116" s="257">
        <v>0</v>
      </c>
      <c r="AC116" s="257">
        <v>0</v>
      </c>
      <c r="AD116" s="257">
        <v>0</v>
      </c>
      <c r="AE116" s="257">
        <v>0</v>
      </c>
      <c r="AF116" s="257">
        <v>0</v>
      </c>
      <c r="AG116" s="257">
        <v>0</v>
      </c>
      <c r="AH116" s="257">
        <v>0</v>
      </c>
      <c r="AI116" s="257">
        <v>0</v>
      </c>
      <c r="AJ116" s="257">
        <v>0</v>
      </c>
      <c r="AK116" s="257">
        <v>0</v>
      </c>
      <c r="AL116" s="257">
        <v>0</v>
      </c>
      <c r="AM116" s="257">
        <v>0</v>
      </c>
      <c r="AN116" s="257">
        <v>0</v>
      </c>
      <c r="AO116" s="257">
        <v>0</v>
      </c>
      <c r="AP116" s="257">
        <v>0</v>
      </c>
      <c r="AQ116" s="257">
        <v>0</v>
      </c>
      <c r="AR116" s="257">
        <v>0</v>
      </c>
      <c r="AS116" s="257">
        <v>0</v>
      </c>
      <c r="AT116" s="257">
        <v>0</v>
      </c>
      <c r="AU116" s="257">
        <v>0</v>
      </c>
      <c r="AV116" s="257">
        <v>0</v>
      </c>
      <c r="AW116" s="257">
        <v>0</v>
      </c>
      <c r="AX116" s="257">
        <v>0</v>
      </c>
      <c r="AY116" s="257">
        <v>0</v>
      </c>
      <c r="AZ116" s="257">
        <v>0</v>
      </c>
      <c r="BA116" s="257">
        <v>0</v>
      </c>
      <c r="BB116" s="257">
        <v>0</v>
      </c>
      <c r="BC116" s="257">
        <v>0</v>
      </c>
      <c r="BD116" s="257">
        <v>0</v>
      </c>
      <c r="BE116" s="257">
        <v>0</v>
      </c>
      <c r="BF116" s="257">
        <v>0</v>
      </c>
    </row>
    <row r="117" spans="1:58" x14ac:dyDescent="0.3">
      <c r="A117" s="265" t="s">
        <v>889</v>
      </c>
      <c r="B117" s="256" t="s">
        <v>792</v>
      </c>
      <c r="C117" s="257">
        <v>0</v>
      </c>
      <c r="D117" s="257">
        <v>0</v>
      </c>
      <c r="E117" s="257">
        <v>0</v>
      </c>
      <c r="F117" s="257">
        <v>0</v>
      </c>
      <c r="G117" s="257">
        <v>0</v>
      </c>
      <c r="H117" s="257">
        <v>0</v>
      </c>
      <c r="I117" s="257">
        <v>0</v>
      </c>
      <c r="J117" s="257">
        <v>0</v>
      </c>
      <c r="K117" s="257">
        <v>0</v>
      </c>
      <c r="L117" s="257">
        <v>0</v>
      </c>
      <c r="M117" s="257">
        <v>0</v>
      </c>
      <c r="N117" s="257">
        <v>0</v>
      </c>
      <c r="O117" s="257">
        <v>0</v>
      </c>
      <c r="P117" s="257">
        <v>0</v>
      </c>
      <c r="Q117" s="257">
        <v>0</v>
      </c>
      <c r="R117" s="257">
        <v>0</v>
      </c>
      <c r="S117" s="257">
        <v>0</v>
      </c>
      <c r="T117" s="257">
        <v>0</v>
      </c>
      <c r="U117" s="257">
        <v>0</v>
      </c>
      <c r="V117" s="257">
        <v>0</v>
      </c>
      <c r="W117" s="257">
        <v>0</v>
      </c>
      <c r="X117" s="257">
        <v>0</v>
      </c>
      <c r="Y117" s="257">
        <v>0</v>
      </c>
      <c r="Z117" s="257">
        <v>0</v>
      </c>
      <c r="AA117" s="257">
        <v>0</v>
      </c>
      <c r="AB117" s="257">
        <v>0</v>
      </c>
      <c r="AC117" s="257">
        <v>0</v>
      </c>
      <c r="AD117" s="257">
        <v>0</v>
      </c>
      <c r="AE117" s="257">
        <v>0</v>
      </c>
      <c r="AF117" s="257">
        <v>0</v>
      </c>
      <c r="AG117" s="257">
        <v>0</v>
      </c>
      <c r="AH117" s="257">
        <v>0</v>
      </c>
      <c r="AI117" s="257">
        <v>0</v>
      </c>
      <c r="AJ117" s="257">
        <v>0</v>
      </c>
      <c r="AK117" s="257">
        <v>0</v>
      </c>
      <c r="AL117" s="257">
        <v>0</v>
      </c>
      <c r="AM117" s="257">
        <v>0</v>
      </c>
      <c r="AN117" s="257">
        <v>0</v>
      </c>
      <c r="AO117" s="257">
        <v>0</v>
      </c>
      <c r="AP117" s="257">
        <v>0</v>
      </c>
      <c r="AQ117" s="257">
        <v>0</v>
      </c>
      <c r="AR117" s="257">
        <v>0</v>
      </c>
      <c r="AS117" s="257">
        <v>0</v>
      </c>
      <c r="AT117" s="257">
        <v>0</v>
      </c>
      <c r="AU117" s="257">
        <v>0</v>
      </c>
      <c r="AV117" s="257">
        <v>0</v>
      </c>
      <c r="AW117" s="257">
        <v>0</v>
      </c>
      <c r="AX117" s="257">
        <v>0</v>
      </c>
      <c r="AY117" s="257">
        <v>0</v>
      </c>
      <c r="AZ117" s="257">
        <v>0</v>
      </c>
      <c r="BA117" s="257">
        <v>0</v>
      </c>
      <c r="BB117" s="257">
        <v>0</v>
      </c>
      <c r="BC117" s="257">
        <v>0</v>
      </c>
      <c r="BD117" s="257">
        <v>0</v>
      </c>
      <c r="BE117" s="257">
        <v>0</v>
      </c>
      <c r="BF117" s="257">
        <v>0</v>
      </c>
    </row>
    <row r="118" spans="1:58" x14ac:dyDescent="0.3">
      <c r="A118" s="265" t="s">
        <v>890</v>
      </c>
      <c r="B118" s="256" t="s">
        <v>792</v>
      </c>
      <c r="C118" s="257">
        <v>0</v>
      </c>
      <c r="D118" s="257">
        <v>0</v>
      </c>
      <c r="E118" s="257">
        <v>0</v>
      </c>
      <c r="F118" s="257">
        <v>0</v>
      </c>
      <c r="G118" s="257">
        <v>0</v>
      </c>
      <c r="H118" s="257">
        <v>0</v>
      </c>
      <c r="I118" s="257">
        <v>0</v>
      </c>
      <c r="J118" s="257">
        <v>0</v>
      </c>
      <c r="K118" s="257">
        <v>0</v>
      </c>
      <c r="L118" s="257">
        <v>0</v>
      </c>
      <c r="M118" s="257">
        <v>0</v>
      </c>
      <c r="N118" s="257">
        <v>0</v>
      </c>
      <c r="O118" s="257">
        <v>0</v>
      </c>
      <c r="P118" s="257">
        <v>0</v>
      </c>
      <c r="Q118" s="257">
        <v>0</v>
      </c>
      <c r="R118" s="257">
        <v>0</v>
      </c>
      <c r="S118" s="257">
        <v>0</v>
      </c>
      <c r="T118" s="257">
        <v>0</v>
      </c>
      <c r="U118" s="257">
        <v>0</v>
      </c>
      <c r="V118" s="257">
        <v>0</v>
      </c>
      <c r="W118" s="257">
        <v>0</v>
      </c>
      <c r="X118" s="257">
        <v>0</v>
      </c>
      <c r="Y118" s="257">
        <v>0</v>
      </c>
      <c r="Z118" s="257">
        <v>0</v>
      </c>
      <c r="AA118" s="257">
        <v>0</v>
      </c>
      <c r="AB118" s="257">
        <v>0</v>
      </c>
      <c r="AC118" s="257">
        <v>0</v>
      </c>
      <c r="AD118" s="257">
        <v>0</v>
      </c>
      <c r="AE118" s="257">
        <v>0</v>
      </c>
      <c r="AF118" s="257">
        <v>0</v>
      </c>
      <c r="AG118" s="257">
        <v>0</v>
      </c>
      <c r="AH118" s="257">
        <v>0</v>
      </c>
      <c r="AI118" s="257">
        <v>0</v>
      </c>
      <c r="AJ118" s="257">
        <v>0</v>
      </c>
      <c r="AK118" s="257">
        <v>0</v>
      </c>
      <c r="AL118" s="257">
        <v>0</v>
      </c>
      <c r="AM118" s="257">
        <v>0</v>
      </c>
      <c r="AN118" s="257">
        <v>0</v>
      </c>
      <c r="AO118" s="257">
        <v>0</v>
      </c>
      <c r="AP118" s="257">
        <v>0</v>
      </c>
      <c r="AQ118" s="257">
        <v>0</v>
      </c>
      <c r="AR118" s="257">
        <v>0</v>
      </c>
      <c r="AS118" s="257">
        <v>0</v>
      </c>
      <c r="AT118" s="257">
        <v>0</v>
      </c>
      <c r="AU118" s="257">
        <v>0</v>
      </c>
      <c r="AV118" s="257">
        <v>0</v>
      </c>
      <c r="AW118" s="257">
        <v>0</v>
      </c>
      <c r="AX118" s="257">
        <v>0</v>
      </c>
      <c r="AY118" s="257">
        <v>0</v>
      </c>
      <c r="AZ118" s="257">
        <v>0</v>
      </c>
      <c r="BA118" s="257">
        <v>0</v>
      </c>
      <c r="BB118" s="257">
        <v>0</v>
      </c>
      <c r="BC118" s="257">
        <v>0</v>
      </c>
      <c r="BD118" s="257">
        <v>0</v>
      </c>
      <c r="BE118" s="257">
        <v>0</v>
      </c>
      <c r="BF118" s="257">
        <v>0</v>
      </c>
    </row>
    <row r="119" spans="1:58" x14ac:dyDescent="0.3">
      <c r="A119" s="265" t="s">
        <v>798</v>
      </c>
      <c r="B119" s="256" t="s">
        <v>792</v>
      </c>
      <c r="C119" s="257">
        <v>0</v>
      </c>
      <c r="D119" s="257">
        <v>0</v>
      </c>
      <c r="E119" s="257">
        <v>0</v>
      </c>
      <c r="F119" s="257">
        <v>0</v>
      </c>
      <c r="G119" s="257">
        <v>0</v>
      </c>
      <c r="H119" s="257">
        <v>0</v>
      </c>
      <c r="I119" s="257">
        <v>0</v>
      </c>
      <c r="J119" s="257">
        <v>0</v>
      </c>
      <c r="K119" s="257">
        <v>0</v>
      </c>
      <c r="L119" s="257">
        <v>0</v>
      </c>
      <c r="M119" s="257">
        <v>0</v>
      </c>
      <c r="N119" s="257">
        <v>0</v>
      </c>
      <c r="O119" s="257">
        <v>0</v>
      </c>
      <c r="P119" s="257">
        <v>0</v>
      </c>
      <c r="Q119" s="257">
        <v>0</v>
      </c>
      <c r="R119" s="257">
        <v>0</v>
      </c>
      <c r="S119" s="257">
        <v>0</v>
      </c>
      <c r="T119" s="257">
        <v>0</v>
      </c>
      <c r="U119" s="257">
        <v>0</v>
      </c>
      <c r="V119" s="257">
        <v>0</v>
      </c>
      <c r="W119" s="257">
        <v>0</v>
      </c>
      <c r="X119" s="257">
        <v>0</v>
      </c>
      <c r="Y119" s="257">
        <v>0</v>
      </c>
      <c r="Z119" s="257">
        <v>0</v>
      </c>
      <c r="AA119" s="257">
        <v>0</v>
      </c>
      <c r="AB119" s="257">
        <v>0</v>
      </c>
      <c r="AC119" s="257">
        <v>0</v>
      </c>
      <c r="AD119" s="257">
        <v>0</v>
      </c>
      <c r="AE119" s="257">
        <v>0</v>
      </c>
      <c r="AF119" s="257">
        <v>0</v>
      </c>
      <c r="AG119" s="257">
        <v>0</v>
      </c>
      <c r="AH119" s="257">
        <v>0</v>
      </c>
      <c r="AI119" s="257">
        <v>0</v>
      </c>
      <c r="AJ119" s="257">
        <v>0</v>
      </c>
      <c r="AK119" s="257">
        <v>0</v>
      </c>
      <c r="AL119" s="257">
        <v>0</v>
      </c>
      <c r="AM119" s="257">
        <v>0</v>
      </c>
      <c r="AN119" s="257">
        <v>0</v>
      </c>
      <c r="AO119" s="257">
        <v>0</v>
      </c>
      <c r="AP119" s="257">
        <v>0</v>
      </c>
      <c r="AQ119" s="257">
        <v>0</v>
      </c>
      <c r="AR119" s="257">
        <v>0</v>
      </c>
      <c r="AS119" s="257">
        <v>0</v>
      </c>
      <c r="AT119" s="257">
        <v>0</v>
      </c>
      <c r="AU119" s="257">
        <v>0</v>
      </c>
      <c r="AV119" s="257">
        <v>0</v>
      </c>
      <c r="AW119" s="257">
        <v>0</v>
      </c>
      <c r="AX119" s="257">
        <v>0</v>
      </c>
      <c r="AY119" s="257">
        <v>0</v>
      </c>
      <c r="AZ119" s="257">
        <v>0</v>
      </c>
      <c r="BA119" s="257">
        <v>0</v>
      </c>
      <c r="BB119" s="257">
        <v>0</v>
      </c>
      <c r="BC119" s="257">
        <v>0</v>
      </c>
      <c r="BD119" s="257">
        <v>0</v>
      </c>
      <c r="BE119" s="257">
        <v>0</v>
      </c>
      <c r="BF119" s="257">
        <v>0</v>
      </c>
    </row>
    <row r="120" spans="1:58" x14ac:dyDescent="0.3">
      <c r="A120" s="260" t="s">
        <v>891</v>
      </c>
      <c r="B120" s="261" t="s">
        <v>792</v>
      </c>
      <c r="C120" s="261" t="s">
        <v>792</v>
      </c>
      <c r="D120" s="261" t="s">
        <v>792</v>
      </c>
      <c r="E120" s="261" t="s">
        <v>792</v>
      </c>
      <c r="F120" s="262">
        <v>0</v>
      </c>
      <c r="G120" s="262">
        <v>0</v>
      </c>
      <c r="H120" s="262">
        <v>0</v>
      </c>
      <c r="I120" s="262">
        <v>0</v>
      </c>
      <c r="J120" s="262">
        <v>0</v>
      </c>
      <c r="K120" s="262">
        <v>0</v>
      </c>
      <c r="L120" s="262">
        <v>0</v>
      </c>
      <c r="M120" s="262">
        <v>0</v>
      </c>
      <c r="N120" s="262">
        <v>0</v>
      </c>
      <c r="O120" s="262">
        <v>0</v>
      </c>
      <c r="P120" s="262">
        <v>0</v>
      </c>
      <c r="Q120" s="262">
        <v>0</v>
      </c>
      <c r="R120" s="262">
        <v>0</v>
      </c>
      <c r="S120" s="262">
        <v>0</v>
      </c>
      <c r="T120" s="262">
        <v>0</v>
      </c>
      <c r="U120" s="262">
        <v>0</v>
      </c>
      <c r="V120" s="262">
        <v>0</v>
      </c>
      <c r="W120" s="262">
        <v>0</v>
      </c>
      <c r="X120" s="262">
        <v>0</v>
      </c>
      <c r="Y120" s="262">
        <v>0</v>
      </c>
      <c r="Z120" s="262">
        <v>0</v>
      </c>
      <c r="AA120" s="262">
        <v>0</v>
      </c>
      <c r="AB120" s="262">
        <v>0</v>
      </c>
      <c r="AC120" s="262">
        <v>0</v>
      </c>
      <c r="AD120" s="262">
        <v>0</v>
      </c>
      <c r="AE120" s="262">
        <v>0</v>
      </c>
      <c r="AF120" s="262">
        <v>0</v>
      </c>
      <c r="AG120" s="262">
        <v>0</v>
      </c>
      <c r="AH120" s="262">
        <v>0</v>
      </c>
      <c r="AI120" s="262">
        <v>0</v>
      </c>
      <c r="AJ120" s="262">
        <v>0</v>
      </c>
      <c r="AK120" s="262">
        <v>0</v>
      </c>
      <c r="AL120" s="262">
        <v>0</v>
      </c>
      <c r="AM120" s="262">
        <v>0</v>
      </c>
      <c r="AN120" s="262">
        <v>0</v>
      </c>
      <c r="AO120" s="262">
        <v>0</v>
      </c>
      <c r="AP120" s="262">
        <v>0</v>
      </c>
      <c r="AQ120" s="262">
        <v>0</v>
      </c>
      <c r="AR120" s="262">
        <v>0</v>
      </c>
      <c r="AS120" s="262">
        <v>0</v>
      </c>
      <c r="AT120" s="262">
        <v>-2649</v>
      </c>
      <c r="AU120" s="262">
        <v>462</v>
      </c>
      <c r="AV120" s="262">
        <v>-2054</v>
      </c>
      <c r="AW120" s="262">
        <v>-2845</v>
      </c>
      <c r="AX120" s="262">
        <v>-4502</v>
      </c>
      <c r="AY120" s="262">
        <v>0</v>
      </c>
      <c r="AZ120" s="262">
        <v>0</v>
      </c>
      <c r="BA120" s="262">
        <v>0</v>
      </c>
      <c r="BB120" s="262">
        <v>-16654</v>
      </c>
      <c r="BC120" s="262">
        <v>-16514</v>
      </c>
      <c r="BD120" s="262">
        <v>-16619</v>
      </c>
      <c r="BE120" s="262">
        <v>-19363</v>
      </c>
      <c r="BF120" s="262">
        <v>0</v>
      </c>
    </row>
    <row r="121" spans="1:58" x14ac:dyDescent="0.3">
      <c r="A121" s="263" t="s">
        <v>892</v>
      </c>
      <c r="B121" s="264" t="s">
        <v>792</v>
      </c>
      <c r="C121" s="264" t="s">
        <v>792</v>
      </c>
      <c r="D121" s="264" t="s">
        <v>792</v>
      </c>
      <c r="E121" s="264" t="s">
        <v>792</v>
      </c>
      <c r="F121" s="259">
        <v>0</v>
      </c>
      <c r="G121" s="259">
        <v>0</v>
      </c>
      <c r="H121" s="259">
        <v>0</v>
      </c>
      <c r="I121" s="259">
        <v>0</v>
      </c>
      <c r="J121" s="259">
        <v>0</v>
      </c>
      <c r="K121" s="259">
        <v>0</v>
      </c>
      <c r="L121" s="259">
        <v>0</v>
      </c>
      <c r="M121" s="259">
        <v>0</v>
      </c>
      <c r="N121" s="259">
        <v>0</v>
      </c>
      <c r="O121" s="259">
        <v>0</v>
      </c>
      <c r="P121" s="259">
        <v>0</v>
      </c>
      <c r="Q121" s="259">
        <v>0</v>
      </c>
      <c r="R121" s="259">
        <v>0</v>
      </c>
      <c r="S121" s="259">
        <v>0</v>
      </c>
      <c r="T121" s="259">
        <v>0</v>
      </c>
      <c r="U121" s="259">
        <v>0</v>
      </c>
      <c r="V121" s="259">
        <v>0</v>
      </c>
      <c r="W121" s="259">
        <v>0</v>
      </c>
      <c r="X121" s="259">
        <v>0</v>
      </c>
      <c r="Y121" s="259">
        <v>0</v>
      </c>
      <c r="Z121" s="259">
        <v>0</v>
      </c>
      <c r="AA121" s="259">
        <v>0</v>
      </c>
      <c r="AB121" s="259">
        <v>0</v>
      </c>
      <c r="AC121" s="259">
        <v>0</v>
      </c>
      <c r="AD121" s="259">
        <v>0</v>
      </c>
      <c r="AE121" s="259">
        <v>0</v>
      </c>
      <c r="AF121" s="259">
        <v>0</v>
      </c>
      <c r="AG121" s="259">
        <v>0</v>
      </c>
      <c r="AH121" s="259">
        <v>0</v>
      </c>
      <c r="AI121" s="259">
        <v>0</v>
      </c>
      <c r="AJ121" s="259">
        <v>0</v>
      </c>
      <c r="AK121" s="259">
        <v>0</v>
      </c>
      <c r="AL121" s="259">
        <v>0</v>
      </c>
      <c r="AM121" s="259">
        <v>0</v>
      </c>
      <c r="AN121" s="259">
        <v>0</v>
      </c>
      <c r="AO121" s="259">
        <v>0</v>
      </c>
      <c r="AP121" s="259">
        <v>0</v>
      </c>
      <c r="AQ121" s="259">
        <v>0</v>
      </c>
      <c r="AR121" s="259">
        <v>0</v>
      </c>
      <c r="AS121" s="259">
        <v>0</v>
      </c>
      <c r="AT121" s="259">
        <v>0</v>
      </c>
      <c r="AU121" s="259">
        <v>0</v>
      </c>
      <c r="AV121" s="259">
        <v>0</v>
      </c>
      <c r="AW121" s="259">
        <v>0</v>
      </c>
      <c r="AX121" s="259">
        <v>0</v>
      </c>
      <c r="AY121" s="259">
        <v>0</v>
      </c>
      <c r="AZ121" s="259">
        <v>0</v>
      </c>
      <c r="BA121" s="259">
        <v>0</v>
      </c>
      <c r="BB121" s="259">
        <v>0</v>
      </c>
      <c r="BC121" s="259">
        <v>-16514</v>
      </c>
      <c r="BD121" s="259">
        <v>0</v>
      </c>
      <c r="BE121" s="259">
        <v>0</v>
      </c>
      <c r="BF121" s="259">
        <v>0</v>
      </c>
    </row>
    <row r="122" spans="1:58" x14ac:dyDescent="0.3">
      <c r="A122" s="263" t="s">
        <v>893</v>
      </c>
      <c r="B122" s="264" t="s">
        <v>792</v>
      </c>
      <c r="C122" s="264" t="s">
        <v>792</v>
      </c>
      <c r="D122" s="264" t="s">
        <v>792</v>
      </c>
      <c r="E122" s="264" t="s">
        <v>792</v>
      </c>
      <c r="F122" s="259">
        <v>0</v>
      </c>
      <c r="G122" s="259">
        <v>0</v>
      </c>
      <c r="H122" s="259">
        <v>0</v>
      </c>
      <c r="I122" s="259">
        <v>0</v>
      </c>
      <c r="J122" s="259">
        <v>0</v>
      </c>
      <c r="K122" s="259">
        <v>0</v>
      </c>
      <c r="L122" s="259">
        <v>0</v>
      </c>
      <c r="M122" s="259">
        <v>0</v>
      </c>
      <c r="N122" s="259">
        <v>0</v>
      </c>
      <c r="O122" s="259">
        <v>0</v>
      </c>
      <c r="P122" s="259">
        <v>0</v>
      </c>
      <c r="Q122" s="259">
        <v>0</v>
      </c>
      <c r="R122" s="259">
        <v>0</v>
      </c>
      <c r="S122" s="259">
        <v>0</v>
      </c>
      <c r="T122" s="259">
        <v>0</v>
      </c>
      <c r="U122" s="259">
        <v>0</v>
      </c>
      <c r="V122" s="259">
        <v>0</v>
      </c>
      <c r="W122" s="259">
        <v>0</v>
      </c>
      <c r="X122" s="259">
        <v>0</v>
      </c>
      <c r="Y122" s="259">
        <v>0</v>
      </c>
      <c r="Z122" s="259">
        <v>0</v>
      </c>
      <c r="AA122" s="259">
        <v>0</v>
      </c>
      <c r="AB122" s="259">
        <v>0</v>
      </c>
      <c r="AC122" s="259">
        <v>0</v>
      </c>
      <c r="AD122" s="259">
        <v>0</v>
      </c>
      <c r="AE122" s="259">
        <v>0</v>
      </c>
      <c r="AF122" s="259">
        <v>0</v>
      </c>
      <c r="AG122" s="259">
        <v>0</v>
      </c>
      <c r="AH122" s="259">
        <v>0</v>
      </c>
      <c r="AI122" s="259">
        <v>0</v>
      </c>
      <c r="AJ122" s="259">
        <v>0</v>
      </c>
      <c r="AK122" s="259">
        <v>0</v>
      </c>
      <c r="AL122" s="259">
        <v>0</v>
      </c>
      <c r="AM122" s="259">
        <v>0</v>
      </c>
      <c r="AN122" s="259">
        <v>0</v>
      </c>
      <c r="AO122" s="259">
        <v>0</v>
      </c>
      <c r="AP122" s="259">
        <v>0</v>
      </c>
      <c r="AQ122" s="259">
        <v>0</v>
      </c>
      <c r="AR122" s="259">
        <v>0</v>
      </c>
      <c r="AS122" s="259">
        <v>0</v>
      </c>
      <c r="AT122" s="259">
        <v>-2649</v>
      </c>
      <c r="AU122" s="259">
        <v>462</v>
      </c>
      <c r="AV122" s="259">
        <v>-2054</v>
      </c>
      <c r="AW122" s="259">
        <v>-2845</v>
      </c>
      <c r="AX122" s="259">
        <v>-4502</v>
      </c>
      <c r="AY122" s="259">
        <v>0</v>
      </c>
      <c r="AZ122" s="259">
        <v>0</v>
      </c>
      <c r="BA122" s="259">
        <v>0</v>
      </c>
      <c r="BB122" s="259">
        <v>-16654</v>
      </c>
      <c r="BC122" s="259">
        <v>0</v>
      </c>
      <c r="BD122" s="259">
        <v>-16619</v>
      </c>
      <c r="BE122" s="259">
        <v>-19363</v>
      </c>
      <c r="BF122" s="259">
        <v>0</v>
      </c>
    </row>
    <row r="123" spans="1:58" x14ac:dyDescent="0.3">
      <c r="A123" s="258" t="s">
        <v>894</v>
      </c>
      <c r="B123" s="259">
        <v>0</v>
      </c>
      <c r="C123" s="259">
        <v>0</v>
      </c>
      <c r="D123" s="259">
        <v>0</v>
      </c>
      <c r="E123" s="259">
        <v>0</v>
      </c>
      <c r="F123" s="259">
        <v>0</v>
      </c>
      <c r="G123" s="259">
        <v>0</v>
      </c>
      <c r="H123" s="259">
        <v>406530</v>
      </c>
      <c r="I123" s="259">
        <v>406530</v>
      </c>
      <c r="J123" s="259">
        <v>922862</v>
      </c>
      <c r="K123" s="259">
        <v>1057416</v>
      </c>
      <c r="L123" s="259">
        <v>464978</v>
      </c>
      <c r="M123" s="259">
        <v>410612</v>
      </c>
      <c r="N123" s="259">
        <v>433085</v>
      </c>
      <c r="O123" s="259">
        <v>427568</v>
      </c>
      <c r="P123" s="259">
        <v>592830</v>
      </c>
      <c r="Q123" s="259">
        <v>426964</v>
      </c>
      <c r="R123" s="259">
        <v>126877</v>
      </c>
      <c r="S123" s="259">
        <v>248111</v>
      </c>
      <c r="T123" s="259">
        <v>211913</v>
      </c>
      <c r="U123" s="259">
        <v>235006</v>
      </c>
      <c r="V123" s="259">
        <v>271084</v>
      </c>
      <c r="W123" s="259">
        <v>305227</v>
      </c>
      <c r="X123" s="259">
        <v>312432</v>
      </c>
      <c r="Y123" s="259">
        <v>369238</v>
      </c>
      <c r="Z123" s="259">
        <v>177509</v>
      </c>
      <c r="AA123" s="259">
        <v>157822</v>
      </c>
      <c r="AB123" s="259">
        <v>149181</v>
      </c>
      <c r="AC123" s="259">
        <v>181237</v>
      </c>
      <c r="AD123" s="259">
        <v>168597</v>
      </c>
      <c r="AE123" s="259">
        <v>243075</v>
      </c>
      <c r="AF123" s="259">
        <v>186922</v>
      </c>
      <c r="AG123" s="259">
        <v>209729</v>
      </c>
      <c r="AH123" s="259">
        <v>174429</v>
      </c>
      <c r="AI123" s="259">
        <v>159794</v>
      </c>
      <c r="AJ123" s="259">
        <v>169677</v>
      </c>
      <c r="AK123" s="259">
        <v>152872</v>
      </c>
      <c r="AL123" s="259">
        <v>159481</v>
      </c>
      <c r="AM123" s="259">
        <v>2377807</v>
      </c>
      <c r="AN123" s="259">
        <v>2307402</v>
      </c>
      <c r="AO123" s="259">
        <v>2143417</v>
      </c>
      <c r="AP123" s="259">
        <v>1654867</v>
      </c>
      <c r="AQ123" s="259">
        <v>2099354</v>
      </c>
      <c r="AR123" s="259">
        <v>2171787</v>
      </c>
      <c r="AS123" s="259">
        <v>2462368</v>
      </c>
      <c r="AT123" s="259">
        <v>1492121</v>
      </c>
      <c r="AU123" s="259">
        <v>1652464</v>
      </c>
      <c r="AV123" s="259">
        <v>4177649</v>
      </c>
      <c r="AW123" s="259">
        <v>4533092</v>
      </c>
      <c r="AX123" s="259">
        <v>4515170</v>
      </c>
      <c r="AY123" s="259">
        <v>5235026</v>
      </c>
      <c r="AZ123" s="259">
        <v>7147882</v>
      </c>
      <c r="BA123" s="259">
        <v>9259869</v>
      </c>
      <c r="BB123" s="259">
        <v>9022764</v>
      </c>
      <c r="BC123" s="259">
        <v>11816373</v>
      </c>
      <c r="BD123" s="259">
        <v>11170652</v>
      </c>
      <c r="BE123" s="259">
        <v>11762888</v>
      </c>
      <c r="BF123" s="259">
        <v>10968841</v>
      </c>
    </row>
    <row r="124" spans="1:58" x14ac:dyDescent="0.3">
      <c r="A124" s="260" t="s">
        <v>895</v>
      </c>
      <c r="B124" s="262">
        <v>0</v>
      </c>
      <c r="C124" s="262">
        <v>0</v>
      </c>
      <c r="D124" s="262">
        <v>0</v>
      </c>
      <c r="E124" s="262">
        <v>0</v>
      </c>
      <c r="F124" s="262">
        <v>0</v>
      </c>
      <c r="G124" s="262">
        <v>0</v>
      </c>
      <c r="H124" s="262">
        <v>0</v>
      </c>
      <c r="I124" s="262">
        <v>0</v>
      </c>
      <c r="J124" s="262">
        <v>0</v>
      </c>
      <c r="K124" s="262">
        <v>3150</v>
      </c>
      <c r="L124" s="262">
        <v>3150</v>
      </c>
      <c r="M124" s="262">
        <v>3150</v>
      </c>
      <c r="N124" s="262">
        <v>1260</v>
      </c>
      <c r="O124" s="262">
        <v>1260</v>
      </c>
      <c r="P124" s="262">
        <v>64017</v>
      </c>
      <c r="Q124" s="262">
        <v>42267</v>
      </c>
      <c r="R124" s="262">
        <v>0</v>
      </c>
      <c r="S124" s="262">
        <v>0</v>
      </c>
      <c r="T124" s="262">
        <v>0</v>
      </c>
      <c r="U124" s="262">
        <v>0</v>
      </c>
      <c r="V124" s="262">
        <v>87568</v>
      </c>
      <c r="W124" s="262">
        <v>87192</v>
      </c>
      <c r="X124" s="262">
        <v>87192</v>
      </c>
      <c r="Y124" s="262">
        <v>87192</v>
      </c>
      <c r="Z124" s="262">
        <v>31461</v>
      </c>
      <c r="AA124" s="262">
        <v>31454</v>
      </c>
      <c r="AB124" s="262">
        <v>31430</v>
      </c>
      <c r="AC124" s="262">
        <v>31431</v>
      </c>
      <c r="AD124" s="262">
        <v>31431</v>
      </c>
      <c r="AE124" s="262">
        <v>31431</v>
      </c>
      <c r="AF124" s="262">
        <v>31431</v>
      </c>
      <c r="AG124" s="262">
        <v>31393</v>
      </c>
      <c r="AH124" s="262">
        <v>54038</v>
      </c>
      <c r="AI124" s="262">
        <v>31245</v>
      </c>
      <c r="AJ124" s="262">
        <v>31241</v>
      </c>
      <c r="AK124" s="262">
        <v>31241</v>
      </c>
      <c r="AL124" s="262">
        <v>56959</v>
      </c>
      <c r="AM124" s="262">
        <v>775163</v>
      </c>
      <c r="AN124" s="262">
        <v>724663</v>
      </c>
      <c r="AO124" s="262">
        <v>459663</v>
      </c>
      <c r="AP124" s="262">
        <v>810703</v>
      </c>
      <c r="AQ124" s="262">
        <v>1145173</v>
      </c>
      <c r="AR124" s="262">
        <v>1159570</v>
      </c>
      <c r="AS124" s="262">
        <v>1173288</v>
      </c>
      <c r="AT124" s="262">
        <v>763208</v>
      </c>
      <c r="AU124" s="262">
        <v>693402</v>
      </c>
      <c r="AV124" s="262">
        <v>3273558</v>
      </c>
      <c r="AW124" s="262">
        <v>3682852</v>
      </c>
      <c r="AX124" s="262">
        <v>3794835</v>
      </c>
      <c r="AY124" s="262">
        <v>4640606</v>
      </c>
      <c r="AZ124" s="262">
        <v>6470157</v>
      </c>
      <c r="BA124" s="262">
        <v>8555957</v>
      </c>
      <c r="BB124" s="262">
        <v>8724437</v>
      </c>
      <c r="BC124" s="262">
        <v>8718031</v>
      </c>
      <c r="BD124" s="262">
        <v>7827270</v>
      </c>
      <c r="BE124" s="262">
        <v>8327927</v>
      </c>
      <c r="BF124" s="262">
        <v>8077838</v>
      </c>
    </row>
    <row r="125" spans="1:58" x14ac:dyDescent="0.3">
      <c r="A125" s="263" t="s">
        <v>896</v>
      </c>
      <c r="B125" s="259">
        <v>0</v>
      </c>
      <c r="C125" s="259">
        <v>0</v>
      </c>
      <c r="D125" s="259">
        <v>0</v>
      </c>
      <c r="E125" s="259">
        <v>0</v>
      </c>
      <c r="F125" s="259">
        <v>0</v>
      </c>
      <c r="G125" s="259">
        <v>0</v>
      </c>
      <c r="H125" s="259">
        <v>0</v>
      </c>
      <c r="I125" s="259">
        <v>0</v>
      </c>
      <c r="J125" s="259">
        <v>0</v>
      </c>
      <c r="K125" s="264" t="s">
        <v>792</v>
      </c>
      <c r="L125" s="264" t="s">
        <v>792</v>
      </c>
      <c r="M125" s="264" t="s">
        <v>792</v>
      </c>
      <c r="N125" s="264" t="s">
        <v>792</v>
      </c>
      <c r="O125" s="264" t="s">
        <v>792</v>
      </c>
      <c r="P125" s="264" t="s">
        <v>792</v>
      </c>
      <c r="Q125" s="264" t="s">
        <v>792</v>
      </c>
      <c r="R125" s="259">
        <v>0</v>
      </c>
      <c r="S125" s="259">
        <v>0</v>
      </c>
      <c r="T125" s="259">
        <v>0</v>
      </c>
      <c r="U125" s="259">
        <v>0</v>
      </c>
      <c r="V125" s="259">
        <v>0</v>
      </c>
      <c r="W125" s="259">
        <v>0</v>
      </c>
      <c r="X125" s="259">
        <v>0</v>
      </c>
      <c r="Y125" s="259">
        <v>0</v>
      </c>
      <c r="Z125" s="259">
        <v>0</v>
      </c>
      <c r="AA125" s="259">
        <v>0</v>
      </c>
      <c r="AB125" s="259">
        <v>0</v>
      </c>
      <c r="AC125" s="259">
        <v>0</v>
      </c>
      <c r="AD125" s="259">
        <v>0</v>
      </c>
      <c r="AE125" s="259">
        <v>0</v>
      </c>
      <c r="AF125" s="259">
        <v>0</v>
      </c>
      <c r="AG125" s="259">
        <v>0</v>
      </c>
      <c r="AH125" s="259">
        <v>0</v>
      </c>
      <c r="AI125" s="259">
        <v>0</v>
      </c>
      <c r="AJ125" s="259">
        <v>0</v>
      </c>
      <c r="AK125" s="259">
        <v>0</v>
      </c>
      <c r="AL125" s="259">
        <v>25718</v>
      </c>
      <c r="AM125" s="259">
        <v>775163</v>
      </c>
      <c r="AN125" s="259">
        <v>724663</v>
      </c>
      <c r="AO125" s="259">
        <v>459663</v>
      </c>
      <c r="AP125" s="259">
        <v>421270</v>
      </c>
      <c r="AQ125" s="259">
        <v>676691</v>
      </c>
      <c r="AR125" s="259">
        <v>708873</v>
      </c>
      <c r="AS125" s="259">
        <v>747000</v>
      </c>
      <c r="AT125" s="259">
        <v>389753</v>
      </c>
      <c r="AU125" s="259">
        <v>281251</v>
      </c>
      <c r="AV125" s="259">
        <v>2959261</v>
      </c>
      <c r="AW125" s="259">
        <v>3220824</v>
      </c>
      <c r="AX125" s="259">
        <v>3307368</v>
      </c>
      <c r="AY125" s="259">
        <v>3748241</v>
      </c>
      <c r="AZ125" s="259">
        <v>5539105</v>
      </c>
      <c r="BA125" s="259">
        <v>5428115</v>
      </c>
      <c r="BB125" s="259">
        <v>5248108</v>
      </c>
      <c r="BC125" s="259">
        <v>5318627</v>
      </c>
      <c r="BD125" s="259">
        <v>4389772</v>
      </c>
      <c r="BE125" s="259">
        <v>4562425</v>
      </c>
      <c r="BF125" s="259">
        <v>4340854</v>
      </c>
    </row>
    <row r="126" spans="1:58" x14ac:dyDescent="0.3">
      <c r="A126" s="265" t="s">
        <v>897</v>
      </c>
      <c r="B126" s="256" t="s">
        <v>792</v>
      </c>
      <c r="C126" s="257">
        <v>0</v>
      </c>
      <c r="D126" s="257">
        <v>0</v>
      </c>
      <c r="E126" s="257">
        <v>0</v>
      </c>
      <c r="F126" s="257">
        <v>0</v>
      </c>
      <c r="G126" s="257">
        <v>0</v>
      </c>
      <c r="H126" s="257">
        <v>0</v>
      </c>
      <c r="I126" s="257">
        <v>0</v>
      </c>
      <c r="J126" s="257">
        <v>0</v>
      </c>
      <c r="K126" s="256" t="s">
        <v>792</v>
      </c>
      <c r="L126" s="256" t="s">
        <v>792</v>
      </c>
      <c r="M126" s="256" t="s">
        <v>792</v>
      </c>
      <c r="N126" s="256" t="s">
        <v>792</v>
      </c>
      <c r="O126" s="256" t="s">
        <v>792</v>
      </c>
      <c r="P126" s="256" t="s">
        <v>792</v>
      </c>
      <c r="Q126" s="256" t="s">
        <v>792</v>
      </c>
      <c r="R126" s="257">
        <v>0</v>
      </c>
      <c r="S126" s="257">
        <v>0</v>
      </c>
      <c r="T126" s="257">
        <v>0</v>
      </c>
      <c r="U126" s="257">
        <v>0</v>
      </c>
      <c r="V126" s="257">
        <v>0</v>
      </c>
      <c r="W126" s="257">
        <v>0</v>
      </c>
      <c r="X126" s="257">
        <v>0</v>
      </c>
      <c r="Y126" s="257">
        <v>0</v>
      </c>
      <c r="Z126" s="257">
        <v>0</v>
      </c>
      <c r="AA126" s="257">
        <v>0</v>
      </c>
      <c r="AB126" s="257">
        <v>0</v>
      </c>
      <c r="AC126" s="257">
        <v>0</v>
      </c>
      <c r="AD126" s="257">
        <v>0</v>
      </c>
      <c r="AE126" s="257">
        <v>0</v>
      </c>
      <c r="AF126" s="257">
        <v>0</v>
      </c>
      <c r="AG126" s="257">
        <v>0</v>
      </c>
      <c r="AH126" s="257">
        <v>0</v>
      </c>
      <c r="AI126" s="257">
        <v>0</v>
      </c>
      <c r="AJ126" s="257">
        <v>0</v>
      </c>
      <c r="AK126" s="257">
        <v>0</v>
      </c>
      <c r="AL126" s="257">
        <v>25718</v>
      </c>
      <c r="AM126" s="256" t="s">
        <v>792</v>
      </c>
      <c r="AN126" s="257">
        <v>174062</v>
      </c>
      <c r="AO126" s="257">
        <v>54203</v>
      </c>
      <c r="AP126" s="257">
        <v>54203</v>
      </c>
      <c r="AQ126" s="257">
        <v>54203</v>
      </c>
      <c r="AR126" s="257">
        <v>54203</v>
      </c>
      <c r="AS126" s="257">
        <v>54318</v>
      </c>
      <c r="AT126" s="257">
        <v>0</v>
      </c>
      <c r="AU126" s="257">
        <v>0</v>
      </c>
      <c r="AV126" s="257">
        <v>0</v>
      </c>
      <c r="AW126" s="257">
        <v>0</v>
      </c>
      <c r="AX126" s="257">
        <v>0</v>
      </c>
      <c r="AY126" s="257">
        <v>0</v>
      </c>
      <c r="AZ126" s="257">
        <v>0</v>
      </c>
      <c r="BA126" s="257">
        <v>0</v>
      </c>
      <c r="BB126" s="257">
        <v>0</v>
      </c>
      <c r="BC126" s="257">
        <v>5318627</v>
      </c>
      <c r="BD126" s="257">
        <v>0</v>
      </c>
      <c r="BE126" s="257">
        <v>0</v>
      </c>
      <c r="BF126" s="257">
        <v>0</v>
      </c>
    </row>
    <row r="127" spans="1:58" x14ac:dyDescent="0.3">
      <c r="A127" s="265" t="s">
        <v>898</v>
      </c>
      <c r="B127" s="256" t="s">
        <v>792</v>
      </c>
      <c r="C127" s="257">
        <v>0</v>
      </c>
      <c r="D127" s="257">
        <v>0</v>
      </c>
      <c r="E127" s="257">
        <v>0</v>
      </c>
      <c r="F127" s="257">
        <v>0</v>
      </c>
      <c r="G127" s="257">
        <v>0</v>
      </c>
      <c r="H127" s="257">
        <v>0</v>
      </c>
      <c r="I127" s="257">
        <v>0</v>
      </c>
      <c r="J127" s="257">
        <v>0</v>
      </c>
      <c r="K127" s="256" t="s">
        <v>792</v>
      </c>
      <c r="L127" s="256" t="s">
        <v>792</v>
      </c>
      <c r="M127" s="256" t="s">
        <v>792</v>
      </c>
      <c r="N127" s="256" t="s">
        <v>792</v>
      </c>
      <c r="O127" s="256" t="s">
        <v>792</v>
      </c>
      <c r="P127" s="256" t="s">
        <v>792</v>
      </c>
      <c r="Q127" s="256" t="s">
        <v>792</v>
      </c>
      <c r="R127" s="257">
        <v>0</v>
      </c>
      <c r="S127" s="257">
        <v>0</v>
      </c>
      <c r="T127" s="257">
        <v>0</v>
      </c>
      <c r="U127" s="257">
        <v>0</v>
      </c>
      <c r="V127" s="257">
        <v>0</v>
      </c>
      <c r="W127" s="257">
        <v>0</v>
      </c>
      <c r="X127" s="257">
        <v>0</v>
      </c>
      <c r="Y127" s="257">
        <v>0</v>
      </c>
      <c r="Z127" s="257">
        <v>0</v>
      </c>
      <c r="AA127" s="257">
        <v>0</v>
      </c>
      <c r="AB127" s="257">
        <v>0</v>
      </c>
      <c r="AC127" s="257">
        <v>0</v>
      </c>
      <c r="AD127" s="257">
        <v>0</v>
      </c>
      <c r="AE127" s="257">
        <v>0</v>
      </c>
      <c r="AF127" s="257">
        <v>0</v>
      </c>
      <c r="AG127" s="257">
        <v>0</v>
      </c>
      <c r="AH127" s="257">
        <v>0</v>
      </c>
      <c r="AI127" s="257">
        <v>0</v>
      </c>
      <c r="AJ127" s="257">
        <v>0</v>
      </c>
      <c r="AK127" s="257">
        <v>0</v>
      </c>
      <c r="AL127" s="257">
        <v>0</v>
      </c>
      <c r="AM127" s="256" t="s">
        <v>792</v>
      </c>
      <c r="AN127" s="257">
        <v>550601</v>
      </c>
      <c r="AO127" s="257">
        <v>405460</v>
      </c>
      <c r="AP127" s="257">
        <v>367067</v>
      </c>
      <c r="AQ127" s="257">
        <v>622488</v>
      </c>
      <c r="AR127" s="257">
        <v>654670</v>
      </c>
      <c r="AS127" s="257">
        <v>692682</v>
      </c>
      <c r="AT127" s="257">
        <v>389753</v>
      </c>
      <c r="AU127" s="257">
        <v>281251</v>
      </c>
      <c r="AV127" s="257">
        <v>2959261</v>
      </c>
      <c r="AW127" s="257">
        <v>3220824</v>
      </c>
      <c r="AX127" s="257">
        <v>3307368</v>
      </c>
      <c r="AY127" s="257">
        <v>3748241</v>
      </c>
      <c r="AZ127" s="257">
        <v>5539105</v>
      </c>
      <c r="BA127" s="257">
        <v>5428115</v>
      </c>
      <c r="BB127" s="257">
        <v>5248108</v>
      </c>
      <c r="BC127" s="257">
        <v>0</v>
      </c>
      <c r="BD127" s="257">
        <v>4389772</v>
      </c>
      <c r="BE127" s="257">
        <v>4562425</v>
      </c>
      <c r="BF127" s="257">
        <v>4340854</v>
      </c>
    </row>
    <row r="128" spans="1:58" x14ac:dyDescent="0.3">
      <c r="A128" s="263" t="s">
        <v>899</v>
      </c>
      <c r="B128" s="259">
        <v>0</v>
      </c>
      <c r="C128" s="259">
        <v>0</v>
      </c>
      <c r="D128" s="259">
        <v>0</v>
      </c>
      <c r="E128" s="259">
        <v>0</v>
      </c>
      <c r="F128" s="259">
        <v>0</v>
      </c>
      <c r="G128" s="259">
        <v>0</v>
      </c>
      <c r="H128" s="259">
        <v>0</v>
      </c>
      <c r="I128" s="259">
        <v>0</v>
      </c>
      <c r="J128" s="259">
        <v>0</v>
      </c>
      <c r="K128" s="264" t="s">
        <v>792</v>
      </c>
      <c r="L128" s="264" t="s">
        <v>792</v>
      </c>
      <c r="M128" s="264" t="s">
        <v>792</v>
      </c>
      <c r="N128" s="264" t="s">
        <v>792</v>
      </c>
      <c r="O128" s="264" t="s">
        <v>792</v>
      </c>
      <c r="P128" s="264" t="s">
        <v>792</v>
      </c>
      <c r="Q128" s="264" t="s">
        <v>792</v>
      </c>
      <c r="R128" s="259">
        <v>0</v>
      </c>
      <c r="S128" s="259">
        <v>0</v>
      </c>
      <c r="T128" s="259">
        <v>0</v>
      </c>
      <c r="U128" s="259">
        <v>0</v>
      </c>
      <c r="V128" s="259">
        <v>87568</v>
      </c>
      <c r="W128" s="259">
        <v>87192</v>
      </c>
      <c r="X128" s="259">
        <v>87192</v>
      </c>
      <c r="Y128" s="259">
        <v>87192</v>
      </c>
      <c r="Z128" s="259">
        <v>31461</v>
      </c>
      <c r="AA128" s="259">
        <v>31454</v>
      </c>
      <c r="AB128" s="259">
        <v>31430</v>
      </c>
      <c r="AC128" s="259">
        <v>31431</v>
      </c>
      <c r="AD128" s="259">
        <v>31431</v>
      </c>
      <c r="AE128" s="259">
        <v>31431</v>
      </c>
      <c r="AF128" s="259">
        <v>31431</v>
      </c>
      <c r="AG128" s="259">
        <v>31393</v>
      </c>
      <c r="AH128" s="259">
        <v>54038</v>
      </c>
      <c r="AI128" s="259">
        <v>31245</v>
      </c>
      <c r="AJ128" s="259">
        <v>31241</v>
      </c>
      <c r="AK128" s="259">
        <v>31241</v>
      </c>
      <c r="AL128" s="259">
        <v>31241</v>
      </c>
      <c r="AM128" s="259">
        <v>0</v>
      </c>
      <c r="AN128" s="259">
        <v>0</v>
      </c>
      <c r="AO128" s="259">
        <v>0</v>
      </c>
      <c r="AP128" s="259">
        <v>0</v>
      </c>
      <c r="AQ128" s="259">
        <v>0</v>
      </c>
      <c r="AR128" s="259">
        <v>0</v>
      </c>
      <c r="AS128" s="259">
        <v>0</v>
      </c>
      <c r="AT128" s="259">
        <v>0</v>
      </c>
      <c r="AU128" s="259">
        <v>0</v>
      </c>
      <c r="AV128" s="259">
        <v>0</v>
      </c>
      <c r="AW128" s="259">
        <v>0</v>
      </c>
      <c r="AX128" s="259">
        <v>0</v>
      </c>
      <c r="AY128" s="259">
        <v>0</v>
      </c>
      <c r="AZ128" s="259">
        <v>0</v>
      </c>
      <c r="BA128" s="259">
        <v>2066670</v>
      </c>
      <c r="BB128" s="259">
        <v>2039518</v>
      </c>
      <c r="BC128" s="259">
        <v>1942333</v>
      </c>
      <c r="BD128" s="259">
        <v>1808793</v>
      </c>
      <c r="BE128" s="259">
        <v>1871454</v>
      </c>
      <c r="BF128" s="259">
        <v>1800248</v>
      </c>
    </row>
    <row r="129" spans="1:58" x14ac:dyDescent="0.3">
      <c r="A129" s="263" t="s">
        <v>900</v>
      </c>
      <c r="B129" s="264" t="s">
        <v>792</v>
      </c>
      <c r="C129" s="259">
        <v>0</v>
      </c>
      <c r="D129" s="259">
        <v>0</v>
      </c>
      <c r="E129" s="259">
        <v>0</v>
      </c>
      <c r="F129" s="259">
        <v>0</v>
      </c>
      <c r="G129" s="259">
        <v>0</v>
      </c>
      <c r="H129" s="259">
        <v>0</v>
      </c>
      <c r="I129" s="259">
        <v>0</v>
      </c>
      <c r="J129" s="259">
        <v>0</v>
      </c>
      <c r="K129" s="264" t="s">
        <v>792</v>
      </c>
      <c r="L129" s="264" t="s">
        <v>792</v>
      </c>
      <c r="M129" s="264" t="s">
        <v>792</v>
      </c>
      <c r="N129" s="264" t="s">
        <v>792</v>
      </c>
      <c r="O129" s="264" t="s">
        <v>792</v>
      </c>
      <c r="P129" s="264" t="s">
        <v>792</v>
      </c>
      <c r="Q129" s="264" t="s">
        <v>792</v>
      </c>
      <c r="R129" s="259">
        <v>0</v>
      </c>
      <c r="S129" s="259">
        <v>0</v>
      </c>
      <c r="T129" s="259">
        <v>0</v>
      </c>
      <c r="U129" s="259">
        <v>0</v>
      </c>
      <c r="V129" s="259">
        <v>0</v>
      </c>
      <c r="W129" s="259">
        <v>0</v>
      </c>
      <c r="X129" s="259">
        <v>0</v>
      </c>
      <c r="Y129" s="259">
        <v>0</v>
      </c>
      <c r="Z129" s="259">
        <v>0</v>
      </c>
      <c r="AA129" s="259">
        <v>0</v>
      </c>
      <c r="AB129" s="259">
        <v>0</v>
      </c>
      <c r="AC129" s="259">
        <v>0</v>
      </c>
      <c r="AD129" s="259">
        <v>0</v>
      </c>
      <c r="AE129" s="259">
        <v>0</v>
      </c>
      <c r="AF129" s="259">
        <v>0</v>
      </c>
      <c r="AG129" s="259">
        <v>0</v>
      </c>
      <c r="AH129" s="259">
        <v>0</v>
      </c>
      <c r="AI129" s="259">
        <v>0</v>
      </c>
      <c r="AJ129" s="259">
        <v>0</v>
      </c>
      <c r="AK129" s="259">
        <v>0</v>
      </c>
      <c r="AL129" s="259">
        <v>0</v>
      </c>
      <c r="AM129" s="259">
        <v>0</v>
      </c>
      <c r="AN129" s="259">
        <v>0</v>
      </c>
      <c r="AO129" s="259">
        <v>0</v>
      </c>
      <c r="AP129" s="259">
        <v>389433</v>
      </c>
      <c r="AQ129" s="259">
        <v>468482</v>
      </c>
      <c r="AR129" s="259">
        <v>450697</v>
      </c>
      <c r="AS129" s="259">
        <v>426288</v>
      </c>
      <c r="AT129" s="259">
        <v>373455</v>
      </c>
      <c r="AU129" s="259">
        <v>412151</v>
      </c>
      <c r="AV129" s="259">
        <v>314297</v>
      </c>
      <c r="AW129" s="259">
        <v>462028</v>
      </c>
      <c r="AX129" s="259">
        <v>487467</v>
      </c>
      <c r="AY129" s="259">
        <v>892365</v>
      </c>
      <c r="AZ129" s="259">
        <v>931052</v>
      </c>
      <c r="BA129" s="259">
        <v>1061172</v>
      </c>
      <c r="BB129" s="259">
        <v>1436811</v>
      </c>
      <c r="BC129" s="259">
        <v>1457071</v>
      </c>
      <c r="BD129" s="259">
        <v>1628705</v>
      </c>
      <c r="BE129" s="259">
        <v>1894048</v>
      </c>
      <c r="BF129" s="259">
        <v>1936736</v>
      </c>
    </row>
    <row r="130" spans="1:58" x14ac:dyDescent="0.3">
      <c r="A130" s="260" t="s">
        <v>901</v>
      </c>
      <c r="B130" s="261" t="s">
        <v>792</v>
      </c>
      <c r="C130" s="262">
        <v>0</v>
      </c>
      <c r="D130" s="262">
        <v>0</v>
      </c>
      <c r="E130" s="262">
        <v>0</v>
      </c>
      <c r="F130" s="262">
        <v>0</v>
      </c>
      <c r="G130" s="262">
        <v>0</v>
      </c>
      <c r="H130" s="262">
        <v>0</v>
      </c>
      <c r="I130" s="262">
        <v>0</v>
      </c>
      <c r="J130" s="262">
        <v>515470</v>
      </c>
      <c r="K130" s="262">
        <v>646899</v>
      </c>
      <c r="L130" s="262">
        <v>0</v>
      </c>
      <c r="M130" s="262">
        <v>0</v>
      </c>
      <c r="N130" s="262">
        <v>0</v>
      </c>
      <c r="O130" s="262">
        <v>0</v>
      </c>
      <c r="P130" s="262">
        <v>0</v>
      </c>
      <c r="Q130" s="262">
        <v>0</v>
      </c>
      <c r="R130" s="262">
        <v>0</v>
      </c>
      <c r="S130" s="262">
        <v>0</v>
      </c>
      <c r="T130" s="262">
        <v>0</v>
      </c>
      <c r="U130" s="262">
        <v>0</v>
      </c>
      <c r="V130" s="262">
        <v>2152</v>
      </c>
      <c r="W130" s="262">
        <v>2598</v>
      </c>
      <c r="X130" s="262">
        <v>15509</v>
      </c>
      <c r="Y130" s="262">
        <v>16284</v>
      </c>
      <c r="Z130" s="262">
        <v>13049</v>
      </c>
      <c r="AA130" s="262">
        <v>13010</v>
      </c>
      <c r="AB130" s="262">
        <v>12972</v>
      </c>
      <c r="AC130" s="262">
        <v>12966</v>
      </c>
      <c r="AD130" s="262">
        <v>12828</v>
      </c>
      <c r="AE130" s="262">
        <v>13456</v>
      </c>
      <c r="AF130" s="262">
        <v>13456</v>
      </c>
      <c r="AG130" s="262">
        <v>13456</v>
      </c>
      <c r="AH130" s="262">
        <v>13456</v>
      </c>
      <c r="AI130" s="262">
        <v>13161</v>
      </c>
      <c r="AJ130" s="262">
        <v>13161</v>
      </c>
      <c r="AK130" s="262">
        <v>13161</v>
      </c>
      <c r="AL130" s="262">
        <v>14057</v>
      </c>
      <c r="AM130" s="262">
        <v>944170</v>
      </c>
      <c r="AN130" s="262">
        <v>1018806</v>
      </c>
      <c r="AO130" s="262">
        <v>1058481</v>
      </c>
      <c r="AP130" s="262">
        <v>14918</v>
      </c>
      <c r="AQ130" s="262">
        <v>15343</v>
      </c>
      <c r="AR130" s="262">
        <v>16111</v>
      </c>
      <c r="AS130" s="262">
        <v>15362</v>
      </c>
      <c r="AT130" s="262">
        <v>14600</v>
      </c>
      <c r="AU130" s="262">
        <v>14408</v>
      </c>
      <c r="AV130" s="262">
        <v>14754</v>
      </c>
      <c r="AW130" s="262">
        <v>14569</v>
      </c>
      <c r="AX130" s="262">
        <v>762</v>
      </c>
      <c r="AY130" s="262">
        <v>1958</v>
      </c>
      <c r="AZ130" s="262">
        <v>2063</v>
      </c>
      <c r="BA130" s="262">
        <v>1890</v>
      </c>
      <c r="BB130" s="262">
        <v>3346</v>
      </c>
      <c r="BC130" s="262">
        <v>797954</v>
      </c>
      <c r="BD130" s="262">
        <v>729561</v>
      </c>
      <c r="BE130" s="262">
        <v>781690</v>
      </c>
      <c r="BF130" s="262">
        <v>823473</v>
      </c>
    </row>
    <row r="131" spans="1:58" x14ac:dyDescent="0.3">
      <c r="A131" s="263" t="s">
        <v>902</v>
      </c>
      <c r="B131" s="264" t="s">
        <v>792</v>
      </c>
      <c r="C131" s="259">
        <v>0</v>
      </c>
      <c r="D131" s="259">
        <v>0</v>
      </c>
      <c r="E131" s="259">
        <v>0</v>
      </c>
      <c r="F131" s="259">
        <v>0</v>
      </c>
      <c r="G131" s="259">
        <v>0</v>
      </c>
      <c r="H131" s="259">
        <v>0</v>
      </c>
      <c r="I131" s="259">
        <v>0</v>
      </c>
      <c r="J131" s="259">
        <v>0</v>
      </c>
      <c r="K131" s="259">
        <v>0</v>
      </c>
      <c r="L131" s="259">
        <v>0</v>
      </c>
      <c r="M131" s="259">
        <v>0</v>
      </c>
      <c r="N131" s="259">
        <v>0</v>
      </c>
      <c r="O131" s="259">
        <v>0</v>
      </c>
      <c r="P131" s="259">
        <v>0</v>
      </c>
      <c r="Q131" s="259">
        <v>0</v>
      </c>
      <c r="R131" s="259">
        <v>0</v>
      </c>
      <c r="S131" s="259">
        <v>0</v>
      </c>
      <c r="T131" s="259">
        <v>0</v>
      </c>
      <c r="U131" s="259">
        <v>0</v>
      </c>
      <c r="V131" s="259">
        <v>0</v>
      </c>
      <c r="W131" s="259">
        <v>0</v>
      </c>
      <c r="X131" s="259">
        <v>0</v>
      </c>
      <c r="Y131" s="259">
        <v>0</v>
      </c>
      <c r="Z131" s="259">
        <v>0</v>
      </c>
      <c r="AA131" s="259">
        <v>0</v>
      </c>
      <c r="AB131" s="259">
        <v>0</v>
      </c>
      <c r="AC131" s="259">
        <v>0</v>
      </c>
      <c r="AD131" s="259">
        <v>0</v>
      </c>
      <c r="AE131" s="259">
        <v>0</v>
      </c>
      <c r="AF131" s="259">
        <v>0</v>
      </c>
      <c r="AG131" s="259">
        <v>0</v>
      </c>
      <c r="AH131" s="259">
        <v>0</v>
      </c>
      <c r="AI131" s="259">
        <v>0</v>
      </c>
      <c r="AJ131" s="259">
        <v>0</v>
      </c>
      <c r="AK131" s="259">
        <v>0</v>
      </c>
      <c r="AL131" s="259">
        <v>0</v>
      </c>
      <c r="AM131" s="259">
        <v>0</v>
      </c>
      <c r="AN131" s="259">
        <v>0</v>
      </c>
      <c r="AO131" s="259">
        <v>0</v>
      </c>
      <c r="AP131" s="259">
        <v>0</v>
      </c>
      <c r="AQ131" s="259">
        <v>0</v>
      </c>
      <c r="AR131" s="259">
        <v>0</v>
      </c>
      <c r="AS131" s="259">
        <v>0</v>
      </c>
      <c r="AT131" s="259">
        <v>0</v>
      </c>
      <c r="AU131" s="259">
        <v>0</v>
      </c>
      <c r="AV131" s="259">
        <v>0</v>
      </c>
      <c r="AW131" s="259">
        <v>0</v>
      </c>
      <c r="AX131" s="259">
        <v>0</v>
      </c>
      <c r="AY131" s="259">
        <v>0</v>
      </c>
      <c r="AZ131" s="259">
        <v>0</v>
      </c>
      <c r="BA131" s="259">
        <v>0</v>
      </c>
      <c r="BB131" s="259">
        <v>0</v>
      </c>
      <c r="BC131" s="259">
        <v>0</v>
      </c>
      <c r="BD131" s="259">
        <v>0</v>
      </c>
      <c r="BE131" s="259">
        <v>0</v>
      </c>
      <c r="BF131" s="259">
        <v>0</v>
      </c>
    </row>
    <row r="132" spans="1:58" x14ac:dyDescent="0.3">
      <c r="A132" s="265" t="s">
        <v>903</v>
      </c>
      <c r="B132" s="256" t="s">
        <v>792</v>
      </c>
      <c r="C132" s="257">
        <v>0</v>
      </c>
      <c r="D132" s="257">
        <v>0</v>
      </c>
      <c r="E132" s="257">
        <v>0</v>
      </c>
      <c r="F132" s="257">
        <v>0</v>
      </c>
      <c r="G132" s="257">
        <v>0</v>
      </c>
      <c r="H132" s="257">
        <v>0</v>
      </c>
      <c r="I132" s="257">
        <v>0</v>
      </c>
      <c r="J132" s="257">
        <v>0</v>
      </c>
      <c r="K132" s="257">
        <v>0</v>
      </c>
      <c r="L132" s="257">
        <v>0</v>
      </c>
      <c r="M132" s="257">
        <v>0</v>
      </c>
      <c r="N132" s="257">
        <v>0</v>
      </c>
      <c r="O132" s="257">
        <v>0</v>
      </c>
      <c r="P132" s="257">
        <v>0</v>
      </c>
      <c r="Q132" s="257">
        <v>0</v>
      </c>
      <c r="R132" s="257">
        <v>0</v>
      </c>
      <c r="S132" s="257">
        <v>0</v>
      </c>
      <c r="T132" s="257">
        <v>0</v>
      </c>
      <c r="U132" s="257">
        <v>0</v>
      </c>
      <c r="V132" s="257">
        <v>0</v>
      </c>
      <c r="W132" s="257">
        <v>0</v>
      </c>
      <c r="X132" s="257">
        <v>0</v>
      </c>
      <c r="Y132" s="257">
        <v>0</v>
      </c>
      <c r="Z132" s="257">
        <v>0</v>
      </c>
      <c r="AA132" s="257">
        <v>0</v>
      </c>
      <c r="AB132" s="257">
        <v>0</v>
      </c>
      <c r="AC132" s="257">
        <v>0</v>
      </c>
      <c r="AD132" s="257">
        <v>0</v>
      </c>
      <c r="AE132" s="257">
        <v>0</v>
      </c>
      <c r="AF132" s="257">
        <v>0</v>
      </c>
      <c r="AG132" s="257">
        <v>0</v>
      </c>
      <c r="AH132" s="257">
        <v>0</v>
      </c>
      <c r="AI132" s="257">
        <v>0</v>
      </c>
      <c r="AJ132" s="257">
        <v>0</v>
      </c>
      <c r="AK132" s="257">
        <v>0</v>
      </c>
      <c r="AL132" s="257">
        <v>0</v>
      </c>
      <c r="AM132" s="257">
        <v>0</v>
      </c>
      <c r="AN132" s="257">
        <v>0</v>
      </c>
      <c r="AO132" s="257">
        <v>0</v>
      </c>
      <c r="AP132" s="257">
        <v>0</v>
      </c>
      <c r="AQ132" s="257">
        <v>0</v>
      </c>
      <c r="AR132" s="257">
        <v>0</v>
      </c>
      <c r="AS132" s="257">
        <v>0</v>
      </c>
      <c r="AT132" s="257">
        <v>0</v>
      </c>
      <c r="AU132" s="257">
        <v>0</v>
      </c>
      <c r="AV132" s="257">
        <v>0</v>
      </c>
      <c r="AW132" s="257">
        <v>0</v>
      </c>
      <c r="AX132" s="257">
        <v>0</v>
      </c>
      <c r="AY132" s="257">
        <v>0</v>
      </c>
      <c r="AZ132" s="257">
        <v>0</v>
      </c>
      <c r="BA132" s="257">
        <v>0</v>
      </c>
      <c r="BB132" s="257">
        <v>0</v>
      </c>
      <c r="BC132" s="257">
        <v>0</v>
      </c>
      <c r="BD132" s="257">
        <v>0</v>
      </c>
      <c r="BE132" s="257">
        <v>0</v>
      </c>
      <c r="BF132" s="257">
        <v>0</v>
      </c>
    </row>
    <row r="133" spans="1:58" x14ac:dyDescent="0.3">
      <c r="A133" s="265" t="s">
        <v>904</v>
      </c>
      <c r="B133" s="256" t="s">
        <v>792</v>
      </c>
      <c r="C133" s="257">
        <v>0</v>
      </c>
      <c r="D133" s="257">
        <v>0</v>
      </c>
      <c r="E133" s="257">
        <v>0</v>
      </c>
      <c r="F133" s="257">
        <v>0</v>
      </c>
      <c r="G133" s="257">
        <v>0</v>
      </c>
      <c r="H133" s="257">
        <v>0</v>
      </c>
      <c r="I133" s="257">
        <v>0</v>
      </c>
      <c r="J133" s="257">
        <v>0</v>
      </c>
      <c r="K133" s="257">
        <v>0</v>
      </c>
      <c r="L133" s="257">
        <v>0</v>
      </c>
      <c r="M133" s="257">
        <v>0</v>
      </c>
      <c r="N133" s="257">
        <v>0</v>
      </c>
      <c r="O133" s="257">
        <v>0</v>
      </c>
      <c r="P133" s="257">
        <v>0</v>
      </c>
      <c r="Q133" s="257">
        <v>0</v>
      </c>
      <c r="R133" s="257">
        <v>0</v>
      </c>
      <c r="S133" s="257">
        <v>0</v>
      </c>
      <c r="T133" s="257">
        <v>0</v>
      </c>
      <c r="U133" s="257">
        <v>0</v>
      </c>
      <c r="V133" s="257">
        <v>0</v>
      </c>
      <c r="W133" s="257">
        <v>0</v>
      </c>
      <c r="X133" s="257">
        <v>0</v>
      </c>
      <c r="Y133" s="257">
        <v>0</v>
      </c>
      <c r="Z133" s="257">
        <v>0</v>
      </c>
      <c r="AA133" s="257">
        <v>0</v>
      </c>
      <c r="AB133" s="257">
        <v>0</v>
      </c>
      <c r="AC133" s="257">
        <v>0</v>
      </c>
      <c r="AD133" s="257">
        <v>0</v>
      </c>
      <c r="AE133" s="257">
        <v>0</v>
      </c>
      <c r="AF133" s="257">
        <v>0</v>
      </c>
      <c r="AG133" s="257">
        <v>0</v>
      </c>
      <c r="AH133" s="257">
        <v>0</v>
      </c>
      <c r="AI133" s="257">
        <v>0</v>
      </c>
      <c r="AJ133" s="257">
        <v>0</v>
      </c>
      <c r="AK133" s="257">
        <v>0</v>
      </c>
      <c r="AL133" s="257">
        <v>0</v>
      </c>
      <c r="AM133" s="257">
        <v>0</v>
      </c>
      <c r="AN133" s="257">
        <v>0</v>
      </c>
      <c r="AO133" s="257">
        <v>0</v>
      </c>
      <c r="AP133" s="257">
        <v>0</v>
      </c>
      <c r="AQ133" s="257">
        <v>0</v>
      </c>
      <c r="AR133" s="257">
        <v>0</v>
      </c>
      <c r="AS133" s="257">
        <v>0</v>
      </c>
      <c r="AT133" s="257">
        <v>0</v>
      </c>
      <c r="AU133" s="257">
        <v>0</v>
      </c>
      <c r="AV133" s="257">
        <v>0</v>
      </c>
      <c r="AW133" s="257">
        <v>0</v>
      </c>
      <c r="AX133" s="257">
        <v>0</v>
      </c>
      <c r="AY133" s="257">
        <v>0</v>
      </c>
      <c r="AZ133" s="257">
        <v>0</v>
      </c>
      <c r="BA133" s="257">
        <v>0</v>
      </c>
      <c r="BB133" s="257">
        <v>0</v>
      </c>
      <c r="BC133" s="257">
        <v>0</v>
      </c>
      <c r="BD133" s="257">
        <v>0</v>
      </c>
      <c r="BE133" s="257">
        <v>0</v>
      </c>
      <c r="BF133" s="257">
        <v>0</v>
      </c>
    </row>
    <row r="134" spans="1:58" x14ac:dyDescent="0.3">
      <c r="A134" s="265" t="s">
        <v>905</v>
      </c>
      <c r="B134" s="256" t="s">
        <v>792</v>
      </c>
      <c r="C134" s="257">
        <v>0</v>
      </c>
      <c r="D134" s="257">
        <v>0</v>
      </c>
      <c r="E134" s="257">
        <v>0</v>
      </c>
      <c r="F134" s="257">
        <v>0</v>
      </c>
      <c r="G134" s="257">
        <v>0</v>
      </c>
      <c r="H134" s="257">
        <v>0</v>
      </c>
      <c r="I134" s="257">
        <v>0</v>
      </c>
      <c r="J134" s="257">
        <v>0</v>
      </c>
      <c r="K134" s="257">
        <v>0</v>
      </c>
      <c r="L134" s="257">
        <v>0</v>
      </c>
      <c r="M134" s="257">
        <v>0</v>
      </c>
      <c r="N134" s="257">
        <v>0</v>
      </c>
      <c r="O134" s="257">
        <v>0</v>
      </c>
      <c r="P134" s="257">
        <v>0</v>
      </c>
      <c r="Q134" s="257">
        <v>0</v>
      </c>
      <c r="R134" s="257">
        <v>0</v>
      </c>
      <c r="S134" s="257">
        <v>0</v>
      </c>
      <c r="T134" s="257">
        <v>0</v>
      </c>
      <c r="U134" s="257">
        <v>0</v>
      </c>
      <c r="V134" s="257">
        <v>0</v>
      </c>
      <c r="W134" s="257">
        <v>0</v>
      </c>
      <c r="X134" s="257">
        <v>0</v>
      </c>
      <c r="Y134" s="257">
        <v>0</v>
      </c>
      <c r="Z134" s="257">
        <v>0</v>
      </c>
      <c r="AA134" s="257">
        <v>0</v>
      </c>
      <c r="AB134" s="257">
        <v>0</v>
      </c>
      <c r="AC134" s="257">
        <v>0</v>
      </c>
      <c r="AD134" s="257">
        <v>0</v>
      </c>
      <c r="AE134" s="257">
        <v>0</v>
      </c>
      <c r="AF134" s="257">
        <v>0</v>
      </c>
      <c r="AG134" s="257">
        <v>0</v>
      </c>
      <c r="AH134" s="257">
        <v>0</v>
      </c>
      <c r="AI134" s="257">
        <v>0</v>
      </c>
      <c r="AJ134" s="257">
        <v>0</v>
      </c>
      <c r="AK134" s="257">
        <v>0</v>
      </c>
      <c r="AL134" s="257">
        <v>0</v>
      </c>
      <c r="AM134" s="257">
        <v>0</v>
      </c>
      <c r="AN134" s="257">
        <v>0</v>
      </c>
      <c r="AO134" s="257">
        <v>0</v>
      </c>
      <c r="AP134" s="257">
        <v>0</v>
      </c>
      <c r="AQ134" s="257">
        <v>0</v>
      </c>
      <c r="AR134" s="257">
        <v>0</v>
      </c>
      <c r="AS134" s="257">
        <v>0</v>
      </c>
      <c r="AT134" s="257">
        <v>0</v>
      </c>
      <c r="AU134" s="257">
        <v>0</v>
      </c>
      <c r="AV134" s="257">
        <v>0</v>
      </c>
      <c r="AW134" s="257">
        <v>0</v>
      </c>
      <c r="AX134" s="257">
        <v>0</v>
      </c>
      <c r="AY134" s="257">
        <v>0</v>
      </c>
      <c r="AZ134" s="257">
        <v>0</v>
      </c>
      <c r="BA134" s="257">
        <v>0</v>
      </c>
      <c r="BB134" s="257">
        <v>0</v>
      </c>
      <c r="BC134" s="257">
        <v>0</v>
      </c>
      <c r="BD134" s="257">
        <v>0</v>
      </c>
      <c r="BE134" s="257">
        <v>0</v>
      </c>
      <c r="BF134" s="257">
        <v>0</v>
      </c>
    </row>
    <row r="135" spans="1:58" x14ac:dyDescent="0.3">
      <c r="A135" s="265" t="s">
        <v>906</v>
      </c>
      <c r="B135" s="256" t="s">
        <v>792</v>
      </c>
      <c r="C135" s="257">
        <v>0</v>
      </c>
      <c r="D135" s="257">
        <v>0</v>
      </c>
      <c r="E135" s="257">
        <v>0</v>
      </c>
      <c r="F135" s="257">
        <v>0</v>
      </c>
      <c r="G135" s="257">
        <v>0</v>
      </c>
      <c r="H135" s="257">
        <v>0</v>
      </c>
      <c r="I135" s="257">
        <v>0</v>
      </c>
      <c r="J135" s="257">
        <v>0</v>
      </c>
      <c r="K135" s="257">
        <v>0</v>
      </c>
      <c r="L135" s="257">
        <v>0</v>
      </c>
      <c r="M135" s="257">
        <v>0</v>
      </c>
      <c r="N135" s="257">
        <v>0</v>
      </c>
      <c r="O135" s="257">
        <v>0</v>
      </c>
      <c r="P135" s="257">
        <v>0</v>
      </c>
      <c r="Q135" s="257">
        <v>0</v>
      </c>
      <c r="R135" s="257">
        <v>0</v>
      </c>
      <c r="S135" s="257">
        <v>0</v>
      </c>
      <c r="T135" s="257">
        <v>0</v>
      </c>
      <c r="U135" s="257">
        <v>0</v>
      </c>
      <c r="V135" s="257">
        <v>0</v>
      </c>
      <c r="W135" s="257">
        <v>0</v>
      </c>
      <c r="X135" s="257">
        <v>0</v>
      </c>
      <c r="Y135" s="257">
        <v>0</v>
      </c>
      <c r="Z135" s="257">
        <v>0</v>
      </c>
      <c r="AA135" s="257">
        <v>0</v>
      </c>
      <c r="AB135" s="257">
        <v>0</v>
      </c>
      <c r="AC135" s="257">
        <v>0</v>
      </c>
      <c r="AD135" s="257">
        <v>0</v>
      </c>
      <c r="AE135" s="257">
        <v>0</v>
      </c>
      <c r="AF135" s="257">
        <v>0</v>
      </c>
      <c r="AG135" s="257">
        <v>0</v>
      </c>
      <c r="AH135" s="257">
        <v>0</v>
      </c>
      <c r="AI135" s="257">
        <v>0</v>
      </c>
      <c r="AJ135" s="257">
        <v>0</v>
      </c>
      <c r="AK135" s="257">
        <v>0</v>
      </c>
      <c r="AL135" s="257">
        <v>0</v>
      </c>
      <c r="AM135" s="257">
        <v>0</v>
      </c>
      <c r="AN135" s="257">
        <v>0</v>
      </c>
      <c r="AO135" s="257">
        <v>0</v>
      </c>
      <c r="AP135" s="257">
        <v>0</v>
      </c>
      <c r="AQ135" s="257">
        <v>0</v>
      </c>
      <c r="AR135" s="257">
        <v>0</v>
      </c>
      <c r="AS135" s="257">
        <v>0</v>
      </c>
      <c r="AT135" s="257">
        <v>0</v>
      </c>
      <c r="AU135" s="257">
        <v>0</v>
      </c>
      <c r="AV135" s="257">
        <v>0</v>
      </c>
      <c r="AW135" s="257">
        <v>0</v>
      </c>
      <c r="AX135" s="257">
        <v>0</v>
      </c>
      <c r="AY135" s="257">
        <v>0</v>
      </c>
      <c r="AZ135" s="257">
        <v>0</v>
      </c>
      <c r="BA135" s="257">
        <v>0</v>
      </c>
      <c r="BB135" s="257">
        <v>0</v>
      </c>
      <c r="BC135" s="257">
        <v>0</v>
      </c>
      <c r="BD135" s="257">
        <v>0</v>
      </c>
      <c r="BE135" s="257">
        <v>0</v>
      </c>
      <c r="BF135" s="257">
        <v>0</v>
      </c>
    </row>
    <row r="136" spans="1:58" x14ac:dyDescent="0.3">
      <c r="A136" s="263" t="s">
        <v>907</v>
      </c>
      <c r="B136" s="264" t="s">
        <v>792</v>
      </c>
      <c r="C136" s="259">
        <v>0</v>
      </c>
      <c r="D136" s="259">
        <v>0</v>
      </c>
      <c r="E136" s="259">
        <v>0</v>
      </c>
      <c r="F136" s="259">
        <v>0</v>
      </c>
      <c r="G136" s="259">
        <v>0</v>
      </c>
      <c r="H136" s="259">
        <v>0</v>
      </c>
      <c r="I136" s="259">
        <v>0</v>
      </c>
      <c r="J136" s="259">
        <v>515470</v>
      </c>
      <c r="K136" s="259">
        <v>646899</v>
      </c>
      <c r="L136" s="259">
        <v>0</v>
      </c>
      <c r="M136" s="259">
        <v>0</v>
      </c>
      <c r="N136" s="259">
        <v>0</v>
      </c>
      <c r="O136" s="259">
        <v>0</v>
      </c>
      <c r="P136" s="259">
        <v>0</v>
      </c>
      <c r="Q136" s="259">
        <v>0</v>
      </c>
      <c r="R136" s="259">
        <v>0</v>
      </c>
      <c r="S136" s="259">
        <v>0</v>
      </c>
      <c r="T136" s="259">
        <v>0</v>
      </c>
      <c r="U136" s="259">
        <v>0</v>
      </c>
      <c r="V136" s="259">
        <v>2152</v>
      </c>
      <c r="W136" s="259">
        <v>2598</v>
      </c>
      <c r="X136" s="259">
        <v>15509</v>
      </c>
      <c r="Y136" s="259">
        <v>16284</v>
      </c>
      <c r="Z136" s="259">
        <v>13049</v>
      </c>
      <c r="AA136" s="259">
        <v>13010</v>
      </c>
      <c r="AB136" s="259">
        <v>12972</v>
      </c>
      <c r="AC136" s="259">
        <v>12966</v>
      </c>
      <c r="AD136" s="259">
        <v>12828</v>
      </c>
      <c r="AE136" s="259">
        <v>13456</v>
      </c>
      <c r="AF136" s="259">
        <v>13456</v>
      </c>
      <c r="AG136" s="259">
        <v>13456</v>
      </c>
      <c r="AH136" s="259">
        <v>13456</v>
      </c>
      <c r="AI136" s="259">
        <v>13161</v>
      </c>
      <c r="AJ136" s="259">
        <v>13161</v>
      </c>
      <c r="AK136" s="259">
        <v>13161</v>
      </c>
      <c r="AL136" s="259">
        <v>14057</v>
      </c>
      <c r="AM136" s="259">
        <v>944170</v>
      </c>
      <c r="AN136" s="259">
        <v>1018806</v>
      </c>
      <c r="AO136" s="259">
        <v>1058481</v>
      </c>
      <c r="AP136" s="259">
        <v>14918</v>
      </c>
      <c r="AQ136" s="259">
        <v>15343</v>
      </c>
      <c r="AR136" s="259">
        <v>16111</v>
      </c>
      <c r="AS136" s="259">
        <v>15362</v>
      </c>
      <c r="AT136" s="259">
        <v>14600</v>
      </c>
      <c r="AU136" s="259">
        <v>14408</v>
      </c>
      <c r="AV136" s="259">
        <v>14754</v>
      </c>
      <c r="AW136" s="259">
        <v>14569</v>
      </c>
      <c r="AX136" s="259">
        <v>762</v>
      </c>
      <c r="AY136" s="259">
        <v>1958</v>
      </c>
      <c r="AZ136" s="259">
        <v>2063</v>
      </c>
      <c r="BA136" s="259">
        <v>1890</v>
      </c>
      <c r="BB136" s="259">
        <v>3346</v>
      </c>
      <c r="BC136" s="259">
        <v>797954</v>
      </c>
      <c r="BD136" s="259">
        <v>729561</v>
      </c>
      <c r="BE136" s="259">
        <v>781690</v>
      </c>
      <c r="BF136" s="259">
        <v>823473</v>
      </c>
    </row>
    <row r="137" spans="1:58" x14ac:dyDescent="0.3">
      <c r="A137" s="265" t="s">
        <v>908</v>
      </c>
      <c r="B137" s="256" t="s">
        <v>792</v>
      </c>
      <c r="C137" s="257">
        <v>0</v>
      </c>
      <c r="D137" s="257">
        <v>0</v>
      </c>
      <c r="E137" s="257">
        <v>0</v>
      </c>
      <c r="F137" s="257">
        <v>0</v>
      </c>
      <c r="G137" s="257">
        <v>0</v>
      </c>
      <c r="H137" s="257">
        <v>0</v>
      </c>
      <c r="I137" s="257">
        <v>0</v>
      </c>
      <c r="J137" s="257">
        <v>0</v>
      </c>
      <c r="K137" s="257">
        <v>0</v>
      </c>
      <c r="L137" s="257">
        <v>0</v>
      </c>
      <c r="M137" s="257">
        <v>0</v>
      </c>
      <c r="N137" s="257">
        <v>0</v>
      </c>
      <c r="O137" s="257">
        <v>0</v>
      </c>
      <c r="P137" s="257">
        <v>0</v>
      </c>
      <c r="Q137" s="257">
        <v>0</v>
      </c>
      <c r="R137" s="257">
        <v>0</v>
      </c>
      <c r="S137" s="257">
        <v>0</v>
      </c>
      <c r="T137" s="257">
        <v>0</v>
      </c>
      <c r="U137" s="257">
        <v>0</v>
      </c>
      <c r="V137" s="257">
        <v>0</v>
      </c>
      <c r="W137" s="257">
        <v>0</v>
      </c>
      <c r="X137" s="257">
        <v>0</v>
      </c>
      <c r="Y137" s="257">
        <v>0</v>
      </c>
      <c r="Z137" s="257">
        <v>0</v>
      </c>
      <c r="AA137" s="257">
        <v>0</v>
      </c>
      <c r="AB137" s="257">
        <v>0</v>
      </c>
      <c r="AC137" s="257">
        <v>0</v>
      </c>
      <c r="AD137" s="257">
        <v>0</v>
      </c>
      <c r="AE137" s="256" t="s">
        <v>792</v>
      </c>
      <c r="AF137" s="256" t="s">
        <v>792</v>
      </c>
      <c r="AG137" s="256" t="s">
        <v>792</v>
      </c>
      <c r="AH137" s="257">
        <v>0</v>
      </c>
      <c r="AI137" s="257">
        <v>0</v>
      </c>
      <c r="AJ137" s="257">
        <v>0</v>
      </c>
      <c r="AK137" s="257">
        <v>0</v>
      </c>
      <c r="AL137" s="257">
        <v>0</v>
      </c>
      <c r="AM137" s="257">
        <v>0</v>
      </c>
      <c r="AN137" s="257">
        <v>0</v>
      </c>
      <c r="AO137" s="257">
        <v>0</v>
      </c>
      <c r="AP137" s="257">
        <v>0</v>
      </c>
      <c r="AQ137" s="257">
        <v>0</v>
      </c>
      <c r="AR137" s="257">
        <v>0</v>
      </c>
      <c r="AS137" s="257">
        <v>0</v>
      </c>
      <c r="AT137" s="257">
        <v>0</v>
      </c>
      <c r="AU137" s="257">
        <v>0</v>
      </c>
      <c r="AV137" s="257">
        <v>0</v>
      </c>
      <c r="AW137" s="257">
        <v>0</v>
      </c>
      <c r="AX137" s="257">
        <v>0</v>
      </c>
      <c r="AY137" s="257">
        <v>0</v>
      </c>
      <c r="AZ137" s="257">
        <v>0</v>
      </c>
      <c r="BA137" s="257">
        <v>0</v>
      </c>
      <c r="BB137" s="257">
        <v>0</v>
      </c>
      <c r="BC137" s="257">
        <v>0</v>
      </c>
      <c r="BD137" s="257">
        <v>0</v>
      </c>
      <c r="BE137" s="257">
        <v>0</v>
      </c>
      <c r="BF137" s="257">
        <v>0</v>
      </c>
    </row>
    <row r="138" spans="1:58" x14ac:dyDescent="0.3">
      <c r="A138" s="265" t="s">
        <v>909</v>
      </c>
      <c r="B138" s="256" t="s">
        <v>792</v>
      </c>
      <c r="C138" s="257">
        <v>0</v>
      </c>
      <c r="D138" s="257">
        <v>0</v>
      </c>
      <c r="E138" s="257">
        <v>0</v>
      </c>
      <c r="F138" s="257">
        <v>0</v>
      </c>
      <c r="G138" s="257">
        <v>0</v>
      </c>
      <c r="H138" s="257">
        <v>0</v>
      </c>
      <c r="I138" s="257">
        <v>0</v>
      </c>
      <c r="J138" s="257">
        <v>0</v>
      </c>
      <c r="K138" s="257">
        <v>0</v>
      </c>
      <c r="L138" s="257">
        <v>0</v>
      </c>
      <c r="M138" s="257">
        <v>0</v>
      </c>
      <c r="N138" s="257">
        <v>0</v>
      </c>
      <c r="O138" s="257">
        <v>0</v>
      </c>
      <c r="P138" s="257">
        <v>0</v>
      </c>
      <c r="Q138" s="257">
        <v>0</v>
      </c>
      <c r="R138" s="257">
        <v>0</v>
      </c>
      <c r="S138" s="257">
        <v>0</v>
      </c>
      <c r="T138" s="257">
        <v>0</v>
      </c>
      <c r="U138" s="257">
        <v>0</v>
      </c>
      <c r="V138" s="257">
        <v>0</v>
      </c>
      <c r="W138" s="257">
        <v>0</v>
      </c>
      <c r="X138" s="257">
        <v>0</v>
      </c>
      <c r="Y138" s="257">
        <v>0</v>
      </c>
      <c r="Z138" s="257">
        <v>0</v>
      </c>
      <c r="AA138" s="257">
        <v>0</v>
      </c>
      <c r="AB138" s="257">
        <v>0</v>
      </c>
      <c r="AC138" s="257">
        <v>0</v>
      </c>
      <c r="AD138" s="257">
        <v>0</v>
      </c>
      <c r="AE138" s="256" t="s">
        <v>792</v>
      </c>
      <c r="AF138" s="256" t="s">
        <v>792</v>
      </c>
      <c r="AG138" s="256" t="s">
        <v>792</v>
      </c>
      <c r="AH138" s="257">
        <v>0</v>
      </c>
      <c r="AI138" s="257">
        <v>0</v>
      </c>
      <c r="AJ138" s="257">
        <v>0</v>
      </c>
      <c r="AK138" s="257">
        <v>0</v>
      </c>
      <c r="AL138" s="257">
        <v>0</v>
      </c>
      <c r="AM138" s="257">
        <v>0</v>
      </c>
      <c r="AN138" s="257">
        <v>0</v>
      </c>
      <c r="AO138" s="257">
        <v>0</v>
      </c>
      <c r="AP138" s="257">
        <v>0</v>
      </c>
      <c r="AQ138" s="257">
        <v>0</v>
      </c>
      <c r="AR138" s="257">
        <v>0</v>
      </c>
      <c r="AS138" s="257">
        <v>0</v>
      </c>
      <c r="AT138" s="257">
        <v>0</v>
      </c>
      <c r="AU138" s="257">
        <v>0</v>
      </c>
      <c r="AV138" s="257">
        <v>0</v>
      </c>
      <c r="AW138" s="257">
        <v>0</v>
      </c>
      <c r="AX138" s="257">
        <v>0</v>
      </c>
      <c r="AY138" s="257">
        <v>0</v>
      </c>
      <c r="AZ138" s="257">
        <v>0</v>
      </c>
      <c r="BA138" s="257">
        <v>0</v>
      </c>
      <c r="BB138" s="257">
        <v>0</v>
      </c>
      <c r="BC138" s="257">
        <v>0</v>
      </c>
      <c r="BD138" s="257">
        <v>0</v>
      </c>
      <c r="BE138" s="257">
        <v>0</v>
      </c>
      <c r="BF138" s="257">
        <v>0</v>
      </c>
    </row>
    <row r="139" spans="1:58" x14ac:dyDescent="0.3">
      <c r="A139" s="265" t="s">
        <v>798</v>
      </c>
      <c r="B139" s="256" t="s">
        <v>792</v>
      </c>
      <c r="C139" s="257">
        <v>0</v>
      </c>
      <c r="D139" s="257">
        <v>0</v>
      </c>
      <c r="E139" s="257">
        <v>0</v>
      </c>
      <c r="F139" s="257">
        <v>0</v>
      </c>
      <c r="G139" s="257">
        <v>0</v>
      </c>
      <c r="H139" s="257">
        <v>0</v>
      </c>
      <c r="I139" s="257">
        <v>0</v>
      </c>
      <c r="J139" s="257">
        <v>515470</v>
      </c>
      <c r="K139" s="257">
        <v>646899</v>
      </c>
      <c r="L139" s="257">
        <v>0</v>
      </c>
      <c r="M139" s="257">
        <v>0</v>
      </c>
      <c r="N139" s="257">
        <v>0</v>
      </c>
      <c r="O139" s="257">
        <v>0</v>
      </c>
      <c r="P139" s="257">
        <v>0</v>
      </c>
      <c r="Q139" s="257">
        <v>0</v>
      </c>
      <c r="R139" s="257">
        <v>0</v>
      </c>
      <c r="S139" s="257">
        <v>0</v>
      </c>
      <c r="T139" s="257">
        <v>0</v>
      </c>
      <c r="U139" s="257">
        <v>0</v>
      </c>
      <c r="V139" s="257">
        <v>2152</v>
      </c>
      <c r="W139" s="257">
        <v>2598</v>
      </c>
      <c r="X139" s="257">
        <v>15509</v>
      </c>
      <c r="Y139" s="257">
        <v>16284</v>
      </c>
      <c r="Z139" s="257">
        <v>13049</v>
      </c>
      <c r="AA139" s="257">
        <v>13010</v>
      </c>
      <c r="AB139" s="257">
        <v>12972</v>
      </c>
      <c r="AC139" s="257">
        <v>12966</v>
      </c>
      <c r="AD139" s="257">
        <v>12828</v>
      </c>
      <c r="AE139" s="256" t="s">
        <v>792</v>
      </c>
      <c r="AF139" s="256" t="s">
        <v>792</v>
      </c>
      <c r="AG139" s="256" t="s">
        <v>792</v>
      </c>
      <c r="AH139" s="257">
        <v>13456</v>
      </c>
      <c r="AI139" s="257">
        <v>13161</v>
      </c>
      <c r="AJ139" s="257">
        <v>13161</v>
      </c>
      <c r="AK139" s="257">
        <v>13161</v>
      </c>
      <c r="AL139" s="257">
        <v>14057</v>
      </c>
      <c r="AM139" s="257">
        <v>944170</v>
      </c>
      <c r="AN139" s="257">
        <v>1018806</v>
      </c>
      <c r="AO139" s="257">
        <v>1058481</v>
      </c>
      <c r="AP139" s="257">
        <v>14918</v>
      </c>
      <c r="AQ139" s="257">
        <v>15343</v>
      </c>
      <c r="AR139" s="257">
        <v>16111</v>
      </c>
      <c r="AS139" s="257">
        <v>15362</v>
      </c>
      <c r="AT139" s="257">
        <v>14600</v>
      </c>
      <c r="AU139" s="257">
        <v>14408</v>
      </c>
      <c r="AV139" s="257">
        <v>14754</v>
      </c>
      <c r="AW139" s="257">
        <v>14569</v>
      </c>
      <c r="AX139" s="257">
        <v>762</v>
      </c>
      <c r="AY139" s="257">
        <v>1958</v>
      </c>
      <c r="AZ139" s="257">
        <v>2063</v>
      </c>
      <c r="BA139" s="257">
        <v>1890</v>
      </c>
      <c r="BB139" s="257">
        <v>3346</v>
      </c>
      <c r="BC139" s="257">
        <v>797954</v>
      </c>
      <c r="BD139" s="257">
        <v>729561</v>
      </c>
      <c r="BE139" s="257">
        <v>781690</v>
      </c>
      <c r="BF139" s="257">
        <v>823473</v>
      </c>
    </row>
    <row r="140" spans="1:58" x14ac:dyDescent="0.3">
      <c r="A140" s="260" t="s">
        <v>910</v>
      </c>
      <c r="B140" s="261" t="s">
        <v>792</v>
      </c>
      <c r="C140" s="262">
        <v>0</v>
      </c>
      <c r="D140" s="262">
        <v>0</v>
      </c>
      <c r="E140" s="262">
        <v>0</v>
      </c>
      <c r="F140" s="262">
        <v>0</v>
      </c>
      <c r="G140" s="262">
        <v>0</v>
      </c>
      <c r="H140" s="262">
        <v>406530</v>
      </c>
      <c r="I140" s="262">
        <v>406530</v>
      </c>
      <c r="J140" s="262">
        <v>407392</v>
      </c>
      <c r="K140" s="262">
        <v>407367</v>
      </c>
      <c r="L140" s="262">
        <v>461828</v>
      </c>
      <c r="M140" s="262">
        <v>407462</v>
      </c>
      <c r="N140" s="262">
        <v>431825</v>
      </c>
      <c r="O140" s="262">
        <v>426308</v>
      </c>
      <c r="P140" s="262">
        <v>528613</v>
      </c>
      <c r="Q140" s="262">
        <v>384397</v>
      </c>
      <c r="R140" s="262">
        <v>126877</v>
      </c>
      <c r="S140" s="262">
        <v>133972</v>
      </c>
      <c r="T140" s="262">
        <v>129294</v>
      </c>
      <c r="U140" s="262">
        <v>149673</v>
      </c>
      <c r="V140" s="262">
        <v>9487</v>
      </c>
      <c r="W140" s="262">
        <v>8222</v>
      </c>
      <c r="X140" s="262">
        <v>6915</v>
      </c>
      <c r="Y140" s="262">
        <v>5960</v>
      </c>
      <c r="Z140" s="262">
        <v>4087</v>
      </c>
      <c r="AA140" s="262">
        <v>4602</v>
      </c>
      <c r="AB140" s="262">
        <v>4122</v>
      </c>
      <c r="AC140" s="262">
        <v>36146</v>
      </c>
      <c r="AD140" s="262">
        <v>19275</v>
      </c>
      <c r="AE140" s="262">
        <v>56290</v>
      </c>
      <c r="AF140" s="262">
        <v>45958</v>
      </c>
      <c r="AG140" s="262">
        <v>68374</v>
      </c>
      <c r="AH140" s="262">
        <v>17697</v>
      </c>
      <c r="AI140" s="262">
        <v>25447</v>
      </c>
      <c r="AJ140" s="262">
        <v>18859</v>
      </c>
      <c r="AK140" s="262">
        <v>2108</v>
      </c>
      <c r="AL140" s="262">
        <v>2311</v>
      </c>
      <c r="AM140" s="262">
        <v>2272</v>
      </c>
      <c r="AN140" s="262">
        <v>0</v>
      </c>
      <c r="AO140" s="262">
        <v>0</v>
      </c>
      <c r="AP140" s="262">
        <v>0</v>
      </c>
      <c r="AQ140" s="262">
        <v>0</v>
      </c>
      <c r="AR140" s="262">
        <v>0</v>
      </c>
      <c r="AS140" s="262">
        <v>0</v>
      </c>
      <c r="AT140" s="262">
        <v>0</v>
      </c>
      <c r="AU140" s="262">
        <v>0</v>
      </c>
      <c r="AV140" s="262">
        <v>0</v>
      </c>
      <c r="AW140" s="262">
        <v>0</v>
      </c>
      <c r="AX140" s="262">
        <v>0</v>
      </c>
      <c r="AY140" s="262">
        <v>0</v>
      </c>
      <c r="AZ140" s="262">
        <v>0</v>
      </c>
      <c r="BA140" s="262">
        <v>0</v>
      </c>
      <c r="BB140" s="262">
        <v>0</v>
      </c>
      <c r="BC140" s="262">
        <v>0</v>
      </c>
      <c r="BD140" s="262">
        <v>0</v>
      </c>
      <c r="BE140" s="262">
        <v>0</v>
      </c>
      <c r="BF140" s="262">
        <v>0</v>
      </c>
    </row>
    <row r="141" spans="1:58" x14ac:dyDescent="0.3">
      <c r="A141" s="263" t="s">
        <v>911</v>
      </c>
      <c r="B141" s="264" t="s">
        <v>792</v>
      </c>
      <c r="C141" s="259">
        <v>0</v>
      </c>
      <c r="D141" s="259">
        <v>0</v>
      </c>
      <c r="E141" s="259">
        <v>0</v>
      </c>
      <c r="F141" s="259">
        <v>0</v>
      </c>
      <c r="G141" s="259">
        <v>0</v>
      </c>
      <c r="H141" s="259">
        <v>406530</v>
      </c>
      <c r="I141" s="259">
        <v>406530</v>
      </c>
      <c r="J141" s="259">
        <v>407392</v>
      </c>
      <c r="K141" s="259">
        <v>407367</v>
      </c>
      <c r="L141" s="259">
        <v>461828</v>
      </c>
      <c r="M141" s="259">
        <v>407462</v>
      </c>
      <c r="N141" s="259">
        <v>431825</v>
      </c>
      <c r="O141" s="264" t="s">
        <v>792</v>
      </c>
      <c r="P141" s="264" t="s">
        <v>792</v>
      </c>
      <c r="Q141" s="264" t="s">
        <v>792</v>
      </c>
      <c r="R141" s="259">
        <v>126877</v>
      </c>
      <c r="S141" s="259">
        <v>133972</v>
      </c>
      <c r="T141" s="259">
        <v>129294</v>
      </c>
      <c r="U141" s="259">
        <v>149673</v>
      </c>
      <c r="V141" s="259">
        <v>9487</v>
      </c>
      <c r="W141" s="259">
        <v>8222</v>
      </c>
      <c r="X141" s="259">
        <v>6915</v>
      </c>
      <c r="Y141" s="259">
        <v>5960</v>
      </c>
      <c r="Z141" s="259">
        <v>4087</v>
      </c>
      <c r="AA141" s="259">
        <v>4602</v>
      </c>
      <c r="AB141" s="259">
        <v>4122</v>
      </c>
      <c r="AC141" s="259">
        <v>36146</v>
      </c>
      <c r="AD141" s="259">
        <v>19275</v>
      </c>
      <c r="AE141" s="259">
        <v>56290</v>
      </c>
      <c r="AF141" s="259">
        <v>45958</v>
      </c>
      <c r="AG141" s="259">
        <v>68374</v>
      </c>
      <c r="AH141" s="259">
        <v>17697</v>
      </c>
      <c r="AI141" s="259">
        <v>25447</v>
      </c>
      <c r="AJ141" s="259">
        <v>18859</v>
      </c>
      <c r="AK141" s="259">
        <v>2108</v>
      </c>
      <c r="AL141" s="259">
        <v>2311</v>
      </c>
      <c r="AM141" s="259">
        <v>2272</v>
      </c>
      <c r="AN141" s="259">
        <v>0</v>
      </c>
      <c r="AO141" s="259">
        <v>0</v>
      </c>
      <c r="AP141" s="259">
        <v>0</v>
      </c>
      <c r="AQ141" s="259">
        <v>0</v>
      </c>
      <c r="AR141" s="259">
        <v>0</v>
      </c>
      <c r="AS141" s="259">
        <v>0</v>
      </c>
      <c r="AT141" s="259">
        <v>0</v>
      </c>
      <c r="AU141" s="259">
        <v>0</v>
      </c>
      <c r="AV141" s="259">
        <v>0</v>
      </c>
      <c r="AW141" s="259">
        <v>0</v>
      </c>
      <c r="AX141" s="259">
        <v>0</v>
      </c>
      <c r="AY141" s="259">
        <v>0</v>
      </c>
      <c r="AZ141" s="259">
        <v>0</v>
      </c>
      <c r="BA141" s="259">
        <v>0</v>
      </c>
      <c r="BB141" s="259">
        <v>0</v>
      </c>
      <c r="BC141" s="259">
        <v>0</v>
      </c>
      <c r="BD141" s="259">
        <v>0</v>
      </c>
      <c r="BE141" s="259">
        <v>0</v>
      </c>
      <c r="BF141" s="259">
        <v>0</v>
      </c>
    </row>
    <row r="142" spans="1:58" x14ac:dyDescent="0.3">
      <c r="A142" s="260" t="s">
        <v>912</v>
      </c>
      <c r="B142" s="262">
        <v>0</v>
      </c>
      <c r="C142" s="262">
        <v>0</v>
      </c>
      <c r="D142" s="262">
        <v>0</v>
      </c>
      <c r="E142" s="262">
        <v>0</v>
      </c>
      <c r="F142" s="262">
        <v>0</v>
      </c>
      <c r="G142" s="262">
        <v>0</v>
      </c>
      <c r="H142" s="262">
        <v>0</v>
      </c>
      <c r="I142" s="262">
        <v>0</v>
      </c>
      <c r="J142" s="262">
        <v>0</v>
      </c>
      <c r="K142" s="262">
        <v>0</v>
      </c>
      <c r="L142" s="262">
        <v>0</v>
      </c>
      <c r="M142" s="262">
        <v>0</v>
      </c>
      <c r="N142" s="262">
        <v>0</v>
      </c>
      <c r="O142" s="262">
        <v>0</v>
      </c>
      <c r="P142" s="262">
        <v>200</v>
      </c>
      <c r="Q142" s="262">
        <v>300</v>
      </c>
      <c r="R142" s="262">
        <v>0</v>
      </c>
      <c r="S142" s="262">
        <v>114139</v>
      </c>
      <c r="T142" s="262">
        <v>82619</v>
      </c>
      <c r="U142" s="262">
        <v>85333</v>
      </c>
      <c r="V142" s="262">
        <v>171877</v>
      </c>
      <c r="W142" s="262">
        <v>207215</v>
      </c>
      <c r="X142" s="262">
        <v>202816</v>
      </c>
      <c r="Y142" s="262">
        <v>259802</v>
      </c>
      <c r="Z142" s="262">
        <v>128912</v>
      </c>
      <c r="AA142" s="262">
        <v>108756</v>
      </c>
      <c r="AB142" s="262">
        <v>100657</v>
      </c>
      <c r="AC142" s="262">
        <v>100694</v>
      </c>
      <c r="AD142" s="262">
        <v>105063</v>
      </c>
      <c r="AE142" s="262">
        <v>141898</v>
      </c>
      <c r="AF142" s="262">
        <v>96077</v>
      </c>
      <c r="AG142" s="262">
        <v>96506</v>
      </c>
      <c r="AH142" s="262">
        <v>89238</v>
      </c>
      <c r="AI142" s="262">
        <v>89941</v>
      </c>
      <c r="AJ142" s="262">
        <v>106416</v>
      </c>
      <c r="AK142" s="262">
        <v>106362</v>
      </c>
      <c r="AL142" s="262">
        <v>86154</v>
      </c>
      <c r="AM142" s="262">
        <v>656202</v>
      </c>
      <c r="AN142" s="262">
        <v>563933</v>
      </c>
      <c r="AO142" s="262">
        <v>625273</v>
      </c>
      <c r="AP142" s="262">
        <v>829246</v>
      </c>
      <c r="AQ142" s="262">
        <v>938838</v>
      </c>
      <c r="AR142" s="262">
        <v>996106</v>
      </c>
      <c r="AS142" s="262">
        <v>1273718</v>
      </c>
      <c r="AT142" s="262">
        <v>714313</v>
      </c>
      <c r="AU142" s="262">
        <v>944654</v>
      </c>
      <c r="AV142" s="262">
        <v>889337</v>
      </c>
      <c r="AW142" s="262">
        <v>835671</v>
      </c>
      <c r="AX142" s="262">
        <v>719573</v>
      </c>
      <c r="AY142" s="262">
        <v>592462</v>
      </c>
      <c r="AZ142" s="262">
        <v>675662</v>
      </c>
      <c r="BA142" s="262">
        <v>702022</v>
      </c>
      <c r="BB142" s="262">
        <v>294981</v>
      </c>
      <c r="BC142" s="262">
        <v>2300388</v>
      </c>
      <c r="BD142" s="262">
        <v>2613821</v>
      </c>
      <c r="BE142" s="262">
        <v>2653271</v>
      </c>
      <c r="BF142" s="262">
        <v>2067530</v>
      </c>
    </row>
    <row r="143" spans="1:58" x14ac:dyDescent="0.3">
      <c r="A143" s="263" t="s">
        <v>913</v>
      </c>
      <c r="B143" s="264" t="s">
        <v>792</v>
      </c>
      <c r="C143" s="259">
        <v>0</v>
      </c>
      <c r="D143" s="259">
        <v>0</v>
      </c>
      <c r="E143" s="259">
        <v>0</v>
      </c>
      <c r="F143" s="259">
        <v>0</v>
      </c>
      <c r="G143" s="259">
        <v>0</v>
      </c>
      <c r="H143" s="259">
        <v>0</v>
      </c>
      <c r="I143" s="259">
        <v>0</v>
      </c>
      <c r="J143" s="259">
        <v>0</v>
      </c>
      <c r="K143" s="259">
        <v>0</v>
      </c>
      <c r="L143" s="259">
        <v>0</v>
      </c>
      <c r="M143" s="259">
        <v>0</v>
      </c>
      <c r="N143" s="259">
        <v>0</v>
      </c>
      <c r="O143" s="259">
        <v>0</v>
      </c>
      <c r="P143" s="264" t="s">
        <v>792</v>
      </c>
      <c r="Q143" s="259">
        <v>300</v>
      </c>
      <c r="R143" s="259">
        <v>0</v>
      </c>
      <c r="S143" s="259">
        <v>0</v>
      </c>
      <c r="T143" s="259">
        <v>0</v>
      </c>
      <c r="U143" s="259">
        <v>0</v>
      </c>
      <c r="V143" s="259">
        <v>33838</v>
      </c>
      <c r="W143" s="259">
        <v>40652</v>
      </c>
      <c r="X143" s="259">
        <v>39618</v>
      </c>
      <c r="Y143" s="259">
        <v>50388</v>
      </c>
      <c r="Z143" s="259">
        <v>60879</v>
      </c>
      <c r="AA143" s="259">
        <v>58524</v>
      </c>
      <c r="AB143" s="259">
        <v>53820</v>
      </c>
      <c r="AC143" s="259">
        <v>53907</v>
      </c>
      <c r="AD143" s="259">
        <v>56393</v>
      </c>
      <c r="AE143" s="259">
        <v>66423</v>
      </c>
      <c r="AF143" s="259">
        <v>25215</v>
      </c>
      <c r="AG143" s="259">
        <v>26881</v>
      </c>
      <c r="AH143" s="259">
        <v>15119</v>
      </c>
      <c r="AI143" s="259">
        <v>14643</v>
      </c>
      <c r="AJ143" s="259">
        <v>17486</v>
      </c>
      <c r="AK143" s="259">
        <v>14882</v>
      </c>
      <c r="AL143" s="259">
        <v>17441</v>
      </c>
      <c r="AM143" s="259">
        <v>25906</v>
      </c>
      <c r="AN143" s="259">
        <v>28675</v>
      </c>
      <c r="AO143" s="259">
        <v>34680</v>
      </c>
      <c r="AP143" s="259">
        <v>65613</v>
      </c>
      <c r="AQ143" s="259">
        <v>76006</v>
      </c>
      <c r="AR143" s="259">
        <v>74091</v>
      </c>
      <c r="AS143" s="259">
        <v>54434</v>
      </c>
      <c r="AT143" s="259">
        <v>75809</v>
      </c>
      <c r="AU143" s="259">
        <v>91295</v>
      </c>
      <c r="AV143" s="259">
        <v>128391</v>
      </c>
      <c r="AW143" s="259">
        <v>126465</v>
      </c>
      <c r="AX143" s="259">
        <v>27284</v>
      </c>
      <c r="AY143" s="259">
        <v>27933</v>
      </c>
      <c r="AZ143" s="259">
        <v>31658</v>
      </c>
      <c r="BA143" s="259">
        <v>19888</v>
      </c>
      <c r="BB143" s="259">
        <v>23350</v>
      </c>
      <c r="BC143" s="259">
        <v>645575</v>
      </c>
      <c r="BD143" s="259">
        <v>999875</v>
      </c>
      <c r="BE143" s="259">
        <v>1015013</v>
      </c>
      <c r="BF143" s="259">
        <v>946101</v>
      </c>
    </row>
    <row r="144" spans="1:58" x14ac:dyDescent="0.3">
      <c r="A144" s="265" t="s">
        <v>914</v>
      </c>
      <c r="B144" s="256" t="s">
        <v>792</v>
      </c>
      <c r="C144" s="257">
        <v>0</v>
      </c>
      <c r="D144" s="257">
        <v>0</v>
      </c>
      <c r="E144" s="257">
        <v>0</v>
      </c>
      <c r="F144" s="257">
        <v>0</v>
      </c>
      <c r="G144" s="257">
        <v>0</v>
      </c>
      <c r="H144" s="257">
        <v>0</v>
      </c>
      <c r="I144" s="257">
        <v>0</v>
      </c>
      <c r="J144" s="257">
        <v>0</v>
      </c>
      <c r="K144" s="257">
        <v>0</v>
      </c>
      <c r="L144" s="257">
        <v>0</v>
      </c>
      <c r="M144" s="257">
        <v>0</v>
      </c>
      <c r="N144" s="257">
        <v>0</v>
      </c>
      <c r="O144" s="257">
        <v>0</v>
      </c>
      <c r="P144" s="256" t="s">
        <v>792</v>
      </c>
      <c r="Q144" s="257">
        <v>0</v>
      </c>
      <c r="R144" s="257">
        <v>0</v>
      </c>
      <c r="S144" s="257">
        <v>0</v>
      </c>
      <c r="T144" s="257">
        <v>0</v>
      </c>
      <c r="U144" s="257">
        <v>0</v>
      </c>
      <c r="V144" s="257">
        <v>0</v>
      </c>
      <c r="W144" s="257">
        <v>0</v>
      </c>
      <c r="X144" s="257">
        <v>244</v>
      </c>
      <c r="Y144" s="257">
        <v>250</v>
      </c>
      <c r="Z144" s="257">
        <v>247</v>
      </c>
      <c r="AA144" s="257">
        <v>249</v>
      </c>
      <c r="AB144" s="257">
        <v>256</v>
      </c>
      <c r="AC144" s="257">
        <v>261</v>
      </c>
      <c r="AD144" s="257">
        <v>268</v>
      </c>
      <c r="AE144" s="257">
        <v>11531</v>
      </c>
      <c r="AF144" s="257">
        <v>11719</v>
      </c>
      <c r="AG144" s="257">
        <v>11731</v>
      </c>
      <c r="AH144" s="257">
        <v>299</v>
      </c>
      <c r="AI144" s="257">
        <v>304</v>
      </c>
      <c r="AJ144" s="257">
        <v>309</v>
      </c>
      <c r="AK144" s="257">
        <v>313</v>
      </c>
      <c r="AL144" s="257">
        <v>318</v>
      </c>
      <c r="AM144" s="257">
        <v>322</v>
      </c>
      <c r="AN144" s="257">
        <v>328</v>
      </c>
      <c r="AO144" s="257">
        <v>12809</v>
      </c>
      <c r="AP144" s="257">
        <v>23154</v>
      </c>
      <c r="AQ144" s="257">
        <v>23378</v>
      </c>
      <c r="AR144" s="257">
        <v>23412</v>
      </c>
      <c r="AS144" s="257">
        <v>13782</v>
      </c>
      <c r="AT144" s="257">
        <v>14243</v>
      </c>
      <c r="AU144" s="257">
        <v>19516</v>
      </c>
      <c r="AV144" s="257">
        <v>15607</v>
      </c>
      <c r="AW144" s="257">
        <v>15973</v>
      </c>
      <c r="AX144" s="257">
        <v>365</v>
      </c>
      <c r="AY144" s="257">
        <v>369</v>
      </c>
      <c r="AZ144" s="257">
        <v>375</v>
      </c>
      <c r="BA144" s="257">
        <v>381</v>
      </c>
      <c r="BB144" s="257">
        <v>388</v>
      </c>
      <c r="BC144" s="257">
        <v>234657</v>
      </c>
      <c r="BD144" s="257">
        <v>78199</v>
      </c>
      <c r="BE144" s="257">
        <v>566152</v>
      </c>
      <c r="BF144" s="257">
        <v>81357</v>
      </c>
    </row>
    <row r="145" spans="1:58" x14ac:dyDescent="0.3">
      <c r="A145" s="265" t="s">
        <v>915</v>
      </c>
      <c r="B145" s="256" t="s">
        <v>792</v>
      </c>
      <c r="C145" s="257">
        <v>0</v>
      </c>
      <c r="D145" s="257">
        <v>0</v>
      </c>
      <c r="E145" s="257">
        <v>0</v>
      </c>
      <c r="F145" s="257">
        <v>0</v>
      </c>
      <c r="G145" s="257">
        <v>0</v>
      </c>
      <c r="H145" s="257">
        <v>0</v>
      </c>
      <c r="I145" s="257">
        <v>0</v>
      </c>
      <c r="J145" s="257">
        <v>0</v>
      </c>
      <c r="K145" s="257">
        <v>0</v>
      </c>
      <c r="L145" s="257">
        <v>0</v>
      </c>
      <c r="M145" s="257">
        <v>0</v>
      </c>
      <c r="N145" s="257">
        <v>0</v>
      </c>
      <c r="O145" s="257">
        <v>0</v>
      </c>
      <c r="P145" s="256" t="s">
        <v>792</v>
      </c>
      <c r="Q145" s="257">
        <v>300</v>
      </c>
      <c r="R145" s="257">
        <v>0</v>
      </c>
      <c r="S145" s="257">
        <v>0</v>
      </c>
      <c r="T145" s="257">
        <v>0</v>
      </c>
      <c r="U145" s="257">
        <v>0</v>
      </c>
      <c r="V145" s="257">
        <v>0</v>
      </c>
      <c r="W145" s="257">
        <v>0</v>
      </c>
      <c r="X145" s="257">
        <v>164</v>
      </c>
      <c r="Y145" s="257">
        <v>283</v>
      </c>
      <c r="Z145" s="257">
        <v>8879</v>
      </c>
      <c r="AA145" s="257">
        <v>11660</v>
      </c>
      <c r="AB145" s="257">
        <v>10799</v>
      </c>
      <c r="AC145" s="257">
        <v>10514</v>
      </c>
      <c r="AD145" s="257">
        <v>11997</v>
      </c>
      <c r="AE145" s="257">
        <v>11989</v>
      </c>
      <c r="AF145" s="257">
        <v>13496</v>
      </c>
      <c r="AG145" s="257">
        <v>15150</v>
      </c>
      <c r="AH145" s="257">
        <v>14820</v>
      </c>
      <c r="AI145" s="257">
        <v>14339</v>
      </c>
      <c r="AJ145" s="257">
        <v>17177</v>
      </c>
      <c r="AK145" s="257">
        <v>14569</v>
      </c>
      <c r="AL145" s="257">
        <v>17123</v>
      </c>
      <c r="AM145" s="257">
        <v>16725</v>
      </c>
      <c r="AN145" s="257">
        <v>19289</v>
      </c>
      <c r="AO145" s="257">
        <v>21750</v>
      </c>
      <c r="AP145" s="257">
        <v>42459</v>
      </c>
      <c r="AQ145" s="257">
        <v>21132</v>
      </c>
      <c r="AR145" s="257">
        <v>17313</v>
      </c>
      <c r="AS145" s="257">
        <v>6297</v>
      </c>
      <c r="AT145" s="257">
        <v>61566</v>
      </c>
      <c r="AU145" s="257">
        <v>12189</v>
      </c>
      <c r="AV145" s="257">
        <v>112784</v>
      </c>
      <c r="AW145" s="257">
        <v>11692</v>
      </c>
      <c r="AX145" s="257">
        <v>15282</v>
      </c>
      <c r="AY145" s="257">
        <v>15205</v>
      </c>
      <c r="AZ145" s="257">
        <v>18803</v>
      </c>
      <c r="BA145" s="257">
        <v>7282</v>
      </c>
      <c r="BB145" s="257">
        <v>10401</v>
      </c>
      <c r="BC145" s="257">
        <v>19728</v>
      </c>
      <c r="BD145" s="257">
        <v>14763</v>
      </c>
      <c r="BE145" s="257">
        <v>14609</v>
      </c>
      <c r="BF145" s="257">
        <v>17407</v>
      </c>
    </row>
    <row r="146" spans="1:58" x14ac:dyDescent="0.3">
      <c r="A146" s="265" t="s">
        <v>916</v>
      </c>
      <c r="B146" s="256" t="s">
        <v>792</v>
      </c>
      <c r="C146" s="257">
        <v>0</v>
      </c>
      <c r="D146" s="257">
        <v>0</v>
      </c>
      <c r="E146" s="257">
        <v>0</v>
      </c>
      <c r="F146" s="257">
        <v>0</v>
      </c>
      <c r="G146" s="257">
        <v>0</v>
      </c>
      <c r="H146" s="257">
        <v>0</v>
      </c>
      <c r="I146" s="257">
        <v>0</v>
      </c>
      <c r="J146" s="257">
        <v>0</v>
      </c>
      <c r="K146" s="257">
        <v>0</v>
      </c>
      <c r="L146" s="257">
        <v>0</v>
      </c>
      <c r="M146" s="257">
        <v>0</v>
      </c>
      <c r="N146" s="257">
        <v>0</v>
      </c>
      <c r="O146" s="257">
        <v>0</v>
      </c>
      <c r="P146" s="256" t="s">
        <v>792</v>
      </c>
      <c r="Q146" s="257">
        <v>0</v>
      </c>
      <c r="R146" s="257">
        <v>0</v>
      </c>
      <c r="S146" s="257">
        <v>0</v>
      </c>
      <c r="T146" s="257">
        <v>0</v>
      </c>
      <c r="U146" s="257">
        <v>0</v>
      </c>
      <c r="V146" s="257">
        <v>43</v>
      </c>
      <c r="W146" s="257">
        <v>164</v>
      </c>
      <c r="X146" s="257">
        <v>0</v>
      </c>
      <c r="Y146" s="257">
        <v>0</v>
      </c>
      <c r="Z146" s="257">
        <v>0</v>
      </c>
      <c r="AA146" s="257">
        <v>0</v>
      </c>
      <c r="AB146" s="257">
        <v>0</v>
      </c>
      <c r="AC146" s="257">
        <v>0</v>
      </c>
      <c r="AD146" s="257">
        <v>0</v>
      </c>
      <c r="AE146" s="257">
        <v>0</v>
      </c>
      <c r="AF146" s="257">
        <v>0</v>
      </c>
      <c r="AG146" s="257">
        <v>0</v>
      </c>
      <c r="AH146" s="257">
        <v>0</v>
      </c>
      <c r="AI146" s="257">
        <v>0</v>
      </c>
      <c r="AJ146" s="257">
        <v>0</v>
      </c>
      <c r="AK146" s="257">
        <v>0</v>
      </c>
      <c r="AL146" s="257">
        <v>0</v>
      </c>
      <c r="AM146" s="257">
        <v>0</v>
      </c>
      <c r="AN146" s="257">
        <v>0</v>
      </c>
      <c r="AO146" s="257">
        <v>0</v>
      </c>
      <c r="AP146" s="257">
        <v>0</v>
      </c>
      <c r="AQ146" s="257">
        <v>0</v>
      </c>
      <c r="AR146" s="257">
        <v>0</v>
      </c>
      <c r="AS146" s="257">
        <v>0</v>
      </c>
      <c r="AT146" s="257">
        <v>0</v>
      </c>
      <c r="AU146" s="257">
        <v>0</v>
      </c>
      <c r="AV146" s="257">
        <v>0</v>
      </c>
      <c r="AW146" s="257">
        <v>0</v>
      </c>
      <c r="AX146" s="257">
        <v>0</v>
      </c>
      <c r="AY146" s="257">
        <v>0</v>
      </c>
      <c r="AZ146" s="257">
        <v>0</v>
      </c>
      <c r="BA146" s="257">
        <v>0</v>
      </c>
      <c r="BB146" s="257">
        <v>0</v>
      </c>
      <c r="BC146" s="257">
        <v>0</v>
      </c>
      <c r="BD146" s="257">
        <v>0</v>
      </c>
      <c r="BE146" s="257">
        <v>0</v>
      </c>
      <c r="BF146" s="257">
        <v>0</v>
      </c>
    </row>
    <row r="147" spans="1:58" x14ac:dyDescent="0.3">
      <c r="A147" s="265" t="s">
        <v>917</v>
      </c>
      <c r="B147" s="256" t="s">
        <v>792</v>
      </c>
      <c r="C147" s="257">
        <v>0</v>
      </c>
      <c r="D147" s="257">
        <v>0</v>
      </c>
      <c r="E147" s="257">
        <v>0</v>
      </c>
      <c r="F147" s="257">
        <v>0</v>
      </c>
      <c r="G147" s="257">
        <v>0</v>
      </c>
      <c r="H147" s="257">
        <v>0</v>
      </c>
      <c r="I147" s="257">
        <v>0</v>
      </c>
      <c r="J147" s="257">
        <v>0</v>
      </c>
      <c r="K147" s="257">
        <v>0</v>
      </c>
      <c r="L147" s="257">
        <v>0</v>
      </c>
      <c r="M147" s="257">
        <v>0</v>
      </c>
      <c r="N147" s="257">
        <v>0</v>
      </c>
      <c r="O147" s="257">
        <v>0</v>
      </c>
      <c r="P147" s="256" t="s">
        <v>792</v>
      </c>
      <c r="Q147" s="257">
        <v>0</v>
      </c>
      <c r="R147" s="257">
        <v>0</v>
      </c>
      <c r="S147" s="257">
        <v>0</v>
      </c>
      <c r="T147" s="257">
        <v>0</v>
      </c>
      <c r="U147" s="257">
        <v>0</v>
      </c>
      <c r="V147" s="257">
        <v>33795</v>
      </c>
      <c r="W147" s="257">
        <v>40488</v>
      </c>
      <c r="X147" s="257">
        <v>39210</v>
      </c>
      <c r="Y147" s="257">
        <v>49855</v>
      </c>
      <c r="Z147" s="257">
        <v>51753</v>
      </c>
      <c r="AA147" s="257">
        <v>46615</v>
      </c>
      <c r="AB147" s="257">
        <v>42765</v>
      </c>
      <c r="AC147" s="257">
        <v>43132</v>
      </c>
      <c r="AD147" s="257">
        <v>44128</v>
      </c>
      <c r="AE147" s="257">
        <v>42903</v>
      </c>
      <c r="AF147" s="257">
        <v>0</v>
      </c>
      <c r="AG147" s="257">
        <v>0</v>
      </c>
      <c r="AH147" s="257">
        <v>0</v>
      </c>
      <c r="AI147" s="257">
        <v>0</v>
      </c>
      <c r="AJ147" s="257">
        <v>0</v>
      </c>
      <c r="AK147" s="257">
        <v>0</v>
      </c>
      <c r="AL147" s="257">
        <v>0</v>
      </c>
      <c r="AM147" s="257">
        <v>8859</v>
      </c>
      <c r="AN147" s="257">
        <v>9058</v>
      </c>
      <c r="AO147" s="257">
        <v>121</v>
      </c>
      <c r="AP147" s="257">
        <v>0</v>
      </c>
      <c r="AQ147" s="257">
        <v>31496</v>
      </c>
      <c r="AR147" s="257">
        <v>33366</v>
      </c>
      <c r="AS147" s="257">
        <v>34355</v>
      </c>
      <c r="AT147" s="257">
        <v>0</v>
      </c>
      <c r="AU147" s="257">
        <v>59590</v>
      </c>
      <c r="AV147" s="257">
        <v>0</v>
      </c>
      <c r="AW147" s="257">
        <v>98800</v>
      </c>
      <c r="AX147" s="257">
        <v>11637</v>
      </c>
      <c r="AY147" s="257">
        <v>12359</v>
      </c>
      <c r="AZ147" s="257">
        <v>12480</v>
      </c>
      <c r="BA147" s="257">
        <v>12225</v>
      </c>
      <c r="BB147" s="257">
        <v>12561</v>
      </c>
      <c r="BC147" s="257">
        <v>391190</v>
      </c>
      <c r="BD147" s="257">
        <v>906913</v>
      </c>
      <c r="BE147" s="257">
        <v>434252</v>
      </c>
      <c r="BF147" s="257">
        <v>847337</v>
      </c>
    </row>
    <row r="148" spans="1:58" x14ac:dyDescent="0.3">
      <c r="A148" s="265" t="s">
        <v>798</v>
      </c>
      <c r="B148" s="256" t="s">
        <v>792</v>
      </c>
      <c r="C148" s="257">
        <v>0</v>
      </c>
      <c r="D148" s="257">
        <v>0</v>
      </c>
      <c r="E148" s="257">
        <v>0</v>
      </c>
      <c r="F148" s="257">
        <v>0</v>
      </c>
      <c r="G148" s="257">
        <v>0</v>
      </c>
      <c r="H148" s="257">
        <v>0</v>
      </c>
      <c r="I148" s="257">
        <v>0</v>
      </c>
      <c r="J148" s="257">
        <v>0</v>
      </c>
      <c r="K148" s="257">
        <v>0</v>
      </c>
      <c r="L148" s="257">
        <v>0</v>
      </c>
      <c r="M148" s="257">
        <v>0</v>
      </c>
      <c r="N148" s="257">
        <v>0</v>
      </c>
      <c r="O148" s="257">
        <v>0</v>
      </c>
      <c r="P148" s="256" t="s">
        <v>792</v>
      </c>
      <c r="Q148" s="257">
        <v>0</v>
      </c>
      <c r="R148" s="257">
        <v>0</v>
      </c>
      <c r="S148" s="257">
        <v>0</v>
      </c>
      <c r="T148" s="257">
        <v>0</v>
      </c>
      <c r="U148" s="257">
        <v>0</v>
      </c>
      <c r="V148" s="257">
        <v>0</v>
      </c>
      <c r="W148" s="257">
        <v>0</v>
      </c>
      <c r="X148" s="257">
        <v>0</v>
      </c>
      <c r="Y148" s="257">
        <v>0</v>
      </c>
      <c r="Z148" s="257">
        <v>0</v>
      </c>
      <c r="AA148" s="257">
        <v>0</v>
      </c>
      <c r="AB148" s="257">
        <v>0</v>
      </c>
      <c r="AC148" s="257">
        <v>0</v>
      </c>
      <c r="AD148" s="257">
        <v>0</v>
      </c>
      <c r="AE148" s="257">
        <v>0</v>
      </c>
      <c r="AF148" s="257">
        <v>0</v>
      </c>
      <c r="AG148" s="257">
        <v>0</v>
      </c>
      <c r="AH148" s="257">
        <v>0</v>
      </c>
      <c r="AI148" s="257">
        <v>0</v>
      </c>
      <c r="AJ148" s="257">
        <v>0</v>
      </c>
      <c r="AK148" s="257">
        <v>0</v>
      </c>
      <c r="AL148" s="257">
        <v>0</v>
      </c>
      <c r="AM148" s="257">
        <v>0</v>
      </c>
      <c r="AN148" s="257">
        <v>0</v>
      </c>
      <c r="AO148" s="257">
        <v>0</v>
      </c>
      <c r="AP148" s="257">
        <v>0</v>
      </c>
      <c r="AQ148" s="257">
        <v>0</v>
      </c>
      <c r="AR148" s="257">
        <v>0</v>
      </c>
      <c r="AS148" s="257">
        <v>0</v>
      </c>
      <c r="AT148" s="257">
        <v>0</v>
      </c>
      <c r="AU148" s="257">
        <v>0</v>
      </c>
      <c r="AV148" s="257">
        <v>0</v>
      </c>
      <c r="AW148" s="257">
        <v>0</v>
      </c>
      <c r="AX148" s="257">
        <v>0</v>
      </c>
      <c r="AY148" s="257">
        <v>0</v>
      </c>
      <c r="AZ148" s="257">
        <v>0</v>
      </c>
      <c r="BA148" s="257">
        <v>0</v>
      </c>
      <c r="BB148" s="257">
        <v>0</v>
      </c>
      <c r="BC148" s="257">
        <v>0</v>
      </c>
      <c r="BD148" s="257">
        <v>0</v>
      </c>
      <c r="BE148" s="257">
        <v>0</v>
      </c>
      <c r="BF148" s="257">
        <v>0</v>
      </c>
    </row>
    <row r="149" spans="1:58" x14ac:dyDescent="0.3">
      <c r="A149" s="263" t="s">
        <v>918</v>
      </c>
      <c r="B149" s="264" t="s">
        <v>792</v>
      </c>
      <c r="C149" s="259">
        <v>0</v>
      </c>
      <c r="D149" s="259">
        <v>0</v>
      </c>
      <c r="E149" s="259">
        <v>0</v>
      </c>
      <c r="F149" s="259">
        <v>0</v>
      </c>
      <c r="G149" s="259">
        <v>0</v>
      </c>
      <c r="H149" s="259">
        <v>0</v>
      </c>
      <c r="I149" s="259">
        <v>0</v>
      </c>
      <c r="J149" s="259">
        <v>0</v>
      </c>
      <c r="K149" s="259">
        <v>0</v>
      </c>
      <c r="L149" s="259">
        <v>0</v>
      </c>
      <c r="M149" s="259">
        <v>0</v>
      </c>
      <c r="N149" s="259">
        <v>0</v>
      </c>
      <c r="O149" s="259">
        <v>0</v>
      </c>
      <c r="P149" s="264" t="s">
        <v>792</v>
      </c>
      <c r="Q149" s="259">
        <v>0</v>
      </c>
      <c r="R149" s="259">
        <v>0</v>
      </c>
      <c r="S149" s="259">
        <v>114139</v>
      </c>
      <c r="T149" s="259">
        <v>82619</v>
      </c>
      <c r="U149" s="259">
        <v>85333</v>
      </c>
      <c r="V149" s="259">
        <v>138039</v>
      </c>
      <c r="W149" s="259">
        <v>166563</v>
      </c>
      <c r="X149" s="259">
        <v>163198</v>
      </c>
      <c r="Y149" s="259">
        <v>209414</v>
      </c>
      <c r="Z149" s="259">
        <v>68033</v>
      </c>
      <c r="AA149" s="259">
        <v>50232</v>
      </c>
      <c r="AB149" s="259">
        <v>46837</v>
      </c>
      <c r="AC149" s="259">
        <v>46787</v>
      </c>
      <c r="AD149" s="259">
        <v>48670</v>
      </c>
      <c r="AE149" s="259">
        <v>75475</v>
      </c>
      <c r="AF149" s="259">
        <v>70862</v>
      </c>
      <c r="AG149" s="259">
        <v>69625</v>
      </c>
      <c r="AH149" s="259">
        <v>74119</v>
      </c>
      <c r="AI149" s="259">
        <v>75298</v>
      </c>
      <c r="AJ149" s="259">
        <v>88930</v>
      </c>
      <c r="AK149" s="259">
        <v>91480</v>
      </c>
      <c r="AL149" s="259">
        <v>68713</v>
      </c>
      <c r="AM149" s="259">
        <v>630296</v>
      </c>
      <c r="AN149" s="259">
        <v>535258</v>
      </c>
      <c r="AO149" s="259">
        <v>590593</v>
      </c>
      <c r="AP149" s="259">
        <v>763633</v>
      </c>
      <c r="AQ149" s="259">
        <v>862832</v>
      </c>
      <c r="AR149" s="259">
        <v>922015</v>
      </c>
      <c r="AS149" s="259">
        <v>1219284</v>
      </c>
      <c r="AT149" s="259">
        <v>638504</v>
      </c>
      <c r="AU149" s="259">
        <v>853359</v>
      </c>
      <c r="AV149" s="259">
        <v>760946</v>
      </c>
      <c r="AW149" s="259">
        <v>709206</v>
      </c>
      <c r="AX149" s="259">
        <v>692289</v>
      </c>
      <c r="AY149" s="259">
        <v>564529</v>
      </c>
      <c r="AZ149" s="259">
        <v>644004</v>
      </c>
      <c r="BA149" s="259">
        <v>682134</v>
      </c>
      <c r="BB149" s="259">
        <v>271631</v>
      </c>
      <c r="BC149" s="259">
        <v>1654813</v>
      </c>
      <c r="BD149" s="259">
        <v>1613946</v>
      </c>
      <c r="BE149" s="259">
        <v>1638258</v>
      </c>
      <c r="BF149" s="259">
        <v>1121429</v>
      </c>
    </row>
    <row r="150" spans="1:58" x14ac:dyDescent="0.3">
      <c r="A150" s="265" t="s">
        <v>919</v>
      </c>
      <c r="B150" s="256" t="s">
        <v>792</v>
      </c>
      <c r="C150" s="257">
        <v>0</v>
      </c>
      <c r="D150" s="257">
        <v>0</v>
      </c>
      <c r="E150" s="257">
        <v>0</v>
      </c>
      <c r="F150" s="257">
        <v>0</v>
      </c>
      <c r="G150" s="257">
        <v>0</v>
      </c>
      <c r="H150" s="257">
        <v>0</v>
      </c>
      <c r="I150" s="257">
        <v>0</v>
      </c>
      <c r="J150" s="257">
        <v>0</v>
      </c>
      <c r="K150" s="257">
        <v>0</v>
      </c>
      <c r="L150" s="257">
        <v>0</v>
      </c>
      <c r="M150" s="257">
        <v>0</v>
      </c>
      <c r="N150" s="257">
        <v>0</v>
      </c>
      <c r="O150" s="257">
        <v>0</v>
      </c>
      <c r="P150" s="256" t="s">
        <v>792</v>
      </c>
      <c r="Q150" s="257">
        <v>0</v>
      </c>
      <c r="R150" s="257">
        <v>0</v>
      </c>
      <c r="S150" s="257">
        <v>0</v>
      </c>
      <c r="T150" s="257">
        <v>0</v>
      </c>
      <c r="U150" s="257">
        <v>0</v>
      </c>
      <c r="V150" s="257">
        <v>0</v>
      </c>
      <c r="W150" s="257">
        <v>0</v>
      </c>
      <c r="X150" s="257">
        <v>0</v>
      </c>
      <c r="Y150" s="257">
        <v>0</v>
      </c>
      <c r="Z150" s="257">
        <v>0</v>
      </c>
      <c r="AA150" s="257">
        <v>0</v>
      </c>
      <c r="AB150" s="257">
        <v>0</v>
      </c>
      <c r="AC150" s="257">
        <v>0</v>
      </c>
      <c r="AD150" s="257">
        <v>0</v>
      </c>
      <c r="AE150" s="257">
        <v>0</v>
      </c>
      <c r="AF150" s="257">
        <v>0</v>
      </c>
      <c r="AG150" s="257">
        <v>0</v>
      </c>
      <c r="AH150" s="257">
        <v>0</v>
      </c>
      <c r="AI150" s="257">
        <v>0</v>
      </c>
      <c r="AJ150" s="257">
        <v>0</v>
      </c>
      <c r="AK150" s="257">
        <v>0</v>
      </c>
      <c r="AL150" s="257">
        <v>0</v>
      </c>
      <c r="AM150" s="257">
        <v>0</v>
      </c>
      <c r="AN150" s="257">
        <v>0</v>
      </c>
      <c r="AO150" s="257">
        <v>0</v>
      </c>
      <c r="AP150" s="257">
        <v>0</v>
      </c>
      <c r="AQ150" s="257">
        <v>0</v>
      </c>
      <c r="AR150" s="257">
        <v>0</v>
      </c>
      <c r="AS150" s="257">
        <v>0</v>
      </c>
      <c r="AT150" s="257">
        <v>0</v>
      </c>
      <c r="AU150" s="257">
        <v>0</v>
      </c>
      <c r="AV150" s="257">
        <v>0</v>
      </c>
      <c r="AW150" s="257">
        <v>0</v>
      </c>
      <c r="AX150" s="257">
        <v>0</v>
      </c>
      <c r="AY150" s="257">
        <v>0</v>
      </c>
      <c r="AZ150" s="257">
        <v>0</v>
      </c>
      <c r="BA150" s="257">
        <v>0</v>
      </c>
      <c r="BB150" s="257">
        <v>0</v>
      </c>
      <c r="BC150" s="257">
        <v>0</v>
      </c>
      <c r="BD150" s="257">
        <v>0</v>
      </c>
      <c r="BE150" s="257">
        <v>0</v>
      </c>
      <c r="BF150" s="257">
        <v>0</v>
      </c>
    </row>
    <row r="151" spans="1:58" x14ac:dyDescent="0.3">
      <c r="A151" s="265" t="s">
        <v>920</v>
      </c>
      <c r="B151" s="256" t="s">
        <v>792</v>
      </c>
      <c r="C151" s="257">
        <v>0</v>
      </c>
      <c r="D151" s="257">
        <v>0</v>
      </c>
      <c r="E151" s="257">
        <v>0</v>
      </c>
      <c r="F151" s="257">
        <v>0</v>
      </c>
      <c r="G151" s="257">
        <v>0</v>
      </c>
      <c r="H151" s="257">
        <v>0</v>
      </c>
      <c r="I151" s="257">
        <v>0</v>
      </c>
      <c r="J151" s="257">
        <v>0</v>
      </c>
      <c r="K151" s="257">
        <v>0</v>
      </c>
      <c r="L151" s="257">
        <v>0</v>
      </c>
      <c r="M151" s="257">
        <v>0</v>
      </c>
      <c r="N151" s="257">
        <v>0</v>
      </c>
      <c r="O151" s="257">
        <v>0</v>
      </c>
      <c r="P151" s="256" t="s">
        <v>792</v>
      </c>
      <c r="Q151" s="257">
        <v>0</v>
      </c>
      <c r="R151" s="257">
        <v>0</v>
      </c>
      <c r="S151" s="257">
        <v>0</v>
      </c>
      <c r="T151" s="257">
        <v>0</v>
      </c>
      <c r="U151" s="257">
        <v>0</v>
      </c>
      <c r="V151" s="257">
        <v>0</v>
      </c>
      <c r="W151" s="257">
        <v>0</v>
      </c>
      <c r="X151" s="257">
        <v>0</v>
      </c>
      <c r="Y151" s="257">
        <v>0</v>
      </c>
      <c r="Z151" s="257">
        <v>0</v>
      </c>
      <c r="AA151" s="257">
        <v>0</v>
      </c>
      <c r="AB151" s="257">
        <v>0</v>
      </c>
      <c r="AC151" s="257">
        <v>0</v>
      </c>
      <c r="AD151" s="257">
        <v>0</v>
      </c>
      <c r="AE151" s="257">
        <v>0</v>
      </c>
      <c r="AF151" s="257">
        <v>0</v>
      </c>
      <c r="AG151" s="257">
        <v>0</v>
      </c>
      <c r="AH151" s="257">
        <v>0</v>
      </c>
      <c r="AI151" s="257">
        <v>0</v>
      </c>
      <c r="AJ151" s="257">
        <v>0</v>
      </c>
      <c r="AK151" s="257">
        <v>0</v>
      </c>
      <c r="AL151" s="257">
        <v>0</v>
      </c>
      <c r="AM151" s="257">
        <v>0</v>
      </c>
      <c r="AN151" s="257">
        <v>0</v>
      </c>
      <c r="AO151" s="257">
        <v>0</v>
      </c>
      <c r="AP151" s="257">
        <v>0</v>
      </c>
      <c r="AQ151" s="257">
        <v>0</v>
      </c>
      <c r="AR151" s="257">
        <v>0</v>
      </c>
      <c r="AS151" s="257">
        <v>0</v>
      </c>
      <c r="AT151" s="257">
        <v>0</v>
      </c>
      <c r="AU151" s="257">
        <v>0</v>
      </c>
      <c r="AV151" s="257">
        <v>0</v>
      </c>
      <c r="AW151" s="257">
        <v>0</v>
      </c>
      <c r="AX151" s="257">
        <v>0</v>
      </c>
      <c r="AY151" s="257">
        <v>0</v>
      </c>
      <c r="AZ151" s="257">
        <v>0</v>
      </c>
      <c r="BA151" s="257">
        <v>0</v>
      </c>
      <c r="BB151" s="257">
        <v>0</v>
      </c>
      <c r="BC151" s="257">
        <v>0</v>
      </c>
      <c r="BD151" s="257">
        <v>0</v>
      </c>
      <c r="BE151" s="257">
        <v>0</v>
      </c>
      <c r="BF151" s="257">
        <v>0</v>
      </c>
    </row>
    <row r="152" spans="1:58" x14ac:dyDescent="0.3">
      <c r="A152" s="265" t="s">
        <v>921</v>
      </c>
      <c r="B152" s="256" t="s">
        <v>792</v>
      </c>
      <c r="C152" s="257">
        <v>0</v>
      </c>
      <c r="D152" s="257">
        <v>0</v>
      </c>
      <c r="E152" s="257">
        <v>0</v>
      </c>
      <c r="F152" s="257">
        <v>0</v>
      </c>
      <c r="G152" s="257">
        <v>0</v>
      </c>
      <c r="H152" s="257">
        <v>0</v>
      </c>
      <c r="I152" s="257">
        <v>0</v>
      </c>
      <c r="J152" s="257">
        <v>0</v>
      </c>
      <c r="K152" s="257">
        <v>0</v>
      </c>
      <c r="L152" s="257">
        <v>0</v>
      </c>
      <c r="M152" s="257">
        <v>0</v>
      </c>
      <c r="N152" s="257">
        <v>0</v>
      </c>
      <c r="O152" s="257">
        <v>0</v>
      </c>
      <c r="P152" s="256" t="s">
        <v>792</v>
      </c>
      <c r="Q152" s="257">
        <v>0</v>
      </c>
      <c r="R152" s="257">
        <v>0</v>
      </c>
      <c r="S152" s="257">
        <v>114139</v>
      </c>
      <c r="T152" s="257">
        <v>82619</v>
      </c>
      <c r="U152" s="257">
        <v>85333</v>
      </c>
      <c r="V152" s="257">
        <v>138039</v>
      </c>
      <c r="W152" s="257">
        <v>166563</v>
      </c>
      <c r="X152" s="257">
        <v>163198</v>
      </c>
      <c r="Y152" s="257">
        <v>209414</v>
      </c>
      <c r="Z152" s="257">
        <v>68033</v>
      </c>
      <c r="AA152" s="257">
        <v>50232</v>
      </c>
      <c r="AB152" s="257">
        <v>46837</v>
      </c>
      <c r="AC152" s="257">
        <v>46787</v>
      </c>
      <c r="AD152" s="257">
        <v>48670</v>
      </c>
      <c r="AE152" s="257">
        <v>75475</v>
      </c>
      <c r="AF152" s="257">
        <v>70862</v>
      </c>
      <c r="AG152" s="257">
        <v>69625</v>
      </c>
      <c r="AH152" s="257">
        <v>74119</v>
      </c>
      <c r="AI152" s="257">
        <v>75298</v>
      </c>
      <c r="AJ152" s="257">
        <v>88930</v>
      </c>
      <c r="AK152" s="257">
        <v>91480</v>
      </c>
      <c r="AL152" s="257">
        <v>68713</v>
      </c>
      <c r="AM152" s="257">
        <v>630296</v>
      </c>
      <c r="AN152" s="257">
        <v>535258</v>
      </c>
      <c r="AO152" s="257">
        <v>590593</v>
      </c>
      <c r="AP152" s="257">
        <v>763633</v>
      </c>
      <c r="AQ152" s="257">
        <v>862832</v>
      </c>
      <c r="AR152" s="257">
        <v>922015</v>
      </c>
      <c r="AS152" s="257">
        <v>1219284</v>
      </c>
      <c r="AT152" s="257">
        <v>638504</v>
      </c>
      <c r="AU152" s="257">
        <v>853359</v>
      </c>
      <c r="AV152" s="257">
        <v>760946</v>
      </c>
      <c r="AW152" s="257">
        <v>709206</v>
      </c>
      <c r="AX152" s="257">
        <v>692289</v>
      </c>
      <c r="AY152" s="257">
        <v>564529</v>
      </c>
      <c r="AZ152" s="257">
        <v>644004</v>
      </c>
      <c r="BA152" s="257">
        <v>682134</v>
      </c>
      <c r="BB152" s="257">
        <v>271631</v>
      </c>
      <c r="BC152" s="257">
        <v>1654813</v>
      </c>
      <c r="BD152" s="257">
        <v>1613946</v>
      </c>
      <c r="BE152" s="257">
        <v>1638258</v>
      </c>
      <c r="BF152" s="257">
        <v>1121429</v>
      </c>
    </row>
    <row r="153" spans="1:58" x14ac:dyDescent="0.3">
      <c r="A153" s="265" t="s">
        <v>798</v>
      </c>
      <c r="B153" s="256" t="s">
        <v>792</v>
      </c>
      <c r="C153" s="257">
        <v>0</v>
      </c>
      <c r="D153" s="257">
        <v>0</v>
      </c>
      <c r="E153" s="257">
        <v>0</v>
      </c>
      <c r="F153" s="257">
        <v>0</v>
      </c>
      <c r="G153" s="257">
        <v>0</v>
      </c>
      <c r="H153" s="257">
        <v>0</v>
      </c>
      <c r="I153" s="257">
        <v>0</v>
      </c>
      <c r="J153" s="257">
        <v>0</v>
      </c>
      <c r="K153" s="257">
        <v>0</v>
      </c>
      <c r="L153" s="257">
        <v>0</v>
      </c>
      <c r="M153" s="257">
        <v>0</v>
      </c>
      <c r="N153" s="257">
        <v>0</v>
      </c>
      <c r="O153" s="257">
        <v>0</v>
      </c>
      <c r="P153" s="256" t="s">
        <v>792</v>
      </c>
      <c r="Q153" s="257">
        <v>0</v>
      </c>
      <c r="R153" s="257">
        <v>0</v>
      </c>
      <c r="S153" s="257">
        <v>0</v>
      </c>
      <c r="T153" s="257">
        <v>0</v>
      </c>
      <c r="U153" s="257">
        <v>0</v>
      </c>
      <c r="V153" s="257">
        <v>0</v>
      </c>
      <c r="W153" s="257">
        <v>0</v>
      </c>
      <c r="X153" s="257">
        <v>0</v>
      </c>
      <c r="Y153" s="257">
        <v>0</v>
      </c>
      <c r="Z153" s="257">
        <v>0</v>
      </c>
      <c r="AA153" s="257">
        <v>0</v>
      </c>
      <c r="AB153" s="257">
        <v>0</v>
      </c>
      <c r="AC153" s="257">
        <v>0</v>
      </c>
      <c r="AD153" s="257">
        <v>0</v>
      </c>
      <c r="AE153" s="257">
        <v>0</v>
      </c>
      <c r="AF153" s="257">
        <v>0</v>
      </c>
      <c r="AG153" s="257">
        <v>0</v>
      </c>
      <c r="AH153" s="257">
        <v>0</v>
      </c>
      <c r="AI153" s="257">
        <v>0</v>
      </c>
      <c r="AJ153" s="257">
        <v>0</v>
      </c>
      <c r="AK153" s="257">
        <v>0</v>
      </c>
      <c r="AL153" s="257">
        <v>0</v>
      </c>
      <c r="AM153" s="257">
        <v>0</v>
      </c>
      <c r="AN153" s="257">
        <v>0</v>
      </c>
      <c r="AO153" s="257">
        <v>0</v>
      </c>
      <c r="AP153" s="257">
        <v>0</v>
      </c>
      <c r="AQ153" s="257">
        <v>0</v>
      </c>
      <c r="AR153" s="257">
        <v>0</v>
      </c>
      <c r="AS153" s="257">
        <v>0</v>
      </c>
      <c r="AT153" s="257">
        <v>0</v>
      </c>
      <c r="AU153" s="257">
        <v>0</v>
      </c>
      <c r="AV153" s="257">
        <v>0</v>
      </c>
      <c r="AW153" s="257">
        <v>0</v>
      </c>
      <c r="AX153" s="257">
        <v>0</v>
      </c>
      <c r="AY153" s="257">
        <v>0</v>
      </c>
      <c r="AZ153" s="257">
        <v>0</v>
      </c>
      <c r="BA153" s="257">
        <v>0</v>
      </c>
      <c r="BB153" s="257">
        <v>0</v>
      </c>
      <c r="BC153" s="257">
        <v>0</v>
      </c>
      <c r="BD153" s="257">
        <v>0</v>
      </c>
      <c r="BE153" s="257">
        <v>0</v>
      </c>
      <c r="BF153" s="257">
        <v>0</v>
      </c>
    </row>
    <row r="154" spans="1:58" x14ac:dyDescent="0.3">
      <c r="A154" s="260" t="s">
        <v>922</v>
      </c>
      <c r="B154" s="261" t="s">
        <v>792</v>
      </c>
      <c r="C154" s="262">
        <v>0</v>
      </c>
      <c r="D154" s="262">
        <v>0</v>
      </c>
      <c r="E154" s="262">
        <v>0</v>
      </c>
      <c r="F154" s="262">
        <v>0</v>
      </c>
      <c r="G154" s="262">
        <v>0</v>
      </c>
      <c r="H154" s="262">
        <v>0</v>
      </c>
      <c r="I154" s="262">
        <v>0</v>
      </c>
      <c r="J154" s="262">
        <v>0</v>
      </c>
      <c r="K154" s="262">
        <v>0</v>
      </c>
      <c r="L154" s="262">
        <v>0</v>
      </c>
      <c r="M154" s="262">
        <v>0</v>
      </c>
      <c r="N154" s="262">
        <v>0</v>
      </c>
      <c r="O154" s="262">
        <v>0</v>
      </c>
      <c r="P154" s="262">
        <v>0</v>
      </c>
      <c r="Q154" s="262">
        <v>0</v>
      </c>
      <c r="R154" s="262">
        <v>0</v>
      </c>
      <c r="S154" s="262">
        <v>0</v>
      </c>
      <c r="T154" s="262">
        <v>0</v>
      </c>
      <c r="U154" s="262">
        <v>0</v>
      </c>
      <c r="V154" s="262">
        <v>0</v>
      </c>
      <c r="W154" s="262">
        <v>0</v>
      </c>
      <c r="X154" s="262">
        <v>0</v>
      </c>
      <c r="Y154" s="262">
        <v>0</v>
      </c>
      <c r="Z154" s="262">
        <v>0</v>
      </c>
      <c r="AA154" s="262">
        <v>0</v>
      </c>
      <c r="AB154" s="262">
        <v>0</v>
      </c>
      <c r="AC154" s="262">
        <v>0</v>
      </c>
      <c r="AD154" s="262">
        <v>0</v>
      </c>
      <c r="AE154" s="262">
        <v>0</v>
      </c>
      <c r="AF154" s="262">
        <v>0</v>
      </c>
      <c r="AG154" s="262">
        <v>0</v>
      </c>
      <c r="AH154" s="262">
        <v>0</v>
      </c>
      <c r="AI154" s="262">
        <v>0</v>
      </c>
      <c r="AJ154" s="262">
        <v>0</v>
      </c>
      <c r="AK154" s="262">
        <v>0</v>
      </c>
      <c r="AL154" s="262">
        <v>0</v>
      </c>
      <c r="AM154" s="262">
        <v>0</v>
      </c>
      <c r="AN154" s="262">
        <v>0</v>
      </c>
      <c r="AO154" s="262">
        <v>0</v>
      </c>
      <c r="AP154" s="262">
        <v>0</v>
      </c>
      <c r="AQ154" s="262">
        <v>0</v>
      </c>
      <c r="AR154" s="262">
        <v>0</v>
      </c>
      <c r="AS154" s="262">
        <v>0</v>
      </c>
      <c r="AT154" s="262">
        <v>0</v>
      </c>
      <c r="AU154" s="262">
        <v>0</v>
      </c>
      <c r="AV154" s="262">
        <v>0</v>
      </c>
      <c r="AW154" s="262">
        <v>0</v>
      </c>
      <c r="AX154" s="262">
        <v>0</v>
      </c>
      <c r="AY154" s="262">
        <v>0</v>
      </c>
      <c r="AZ154" s="262">
        <v>0</v>
      </c>
      <c r="BA154" s="262">
        <v>0</v>
      </c>
      <c r="BB154" s="262">
        <v>0</v>
      </c>
      <c r="BC154" s="262">
        <v>0</v>
      </c>
      <c r="BD154" s="262">
        <v>0</v>
      </c>
      <c r="BE154" s="262">
        <v>0</v>
      </c>
      <c r="BF154" s="262">
        <v>0</v>
      </c>
    </row>
    <row r="155" spans="1:58" x14ac:dyDescent="0.3">
      <c r="A155" s="263" t="s">
        <v>923</v>
      </c>
      <c r="B155" s="264" t="s">
        <v>792</v>
      </c>
      <c r="C155" s="259">
        <v>0</v>
      </c>
      <c r="D155" s="259">
        <v>0</v>
      </c>
      <c r="E155" s="259">
        <v>0</v>
      </c>
      <c r="F155" s="259">
        <v>0</v>
      </c>
      <c r="G155" s="259">
        <v>0</v>
      </c>
      <c r="H155" s="259">
        <v>0</v>
      </c>
      <c r="I155" s="259">
        <v>0</v>
      </c>
      <c r="J155" s="259">
        <v>0</v>
      </c>
      <c r="K155" s="259">
        <v>0</v>
      </c>
      <c r="L155" s="259">
        <v>0</v>
      </c>
      <c r="M155" s="259">
        <v>0</v>
      </c>
      <c r="N155" s="259">
        <v>0</v>
      </c>
      <c r="O155" s="259">
        <v>0</v>
      </c>
      <c r="P155" s="259">
        <v>0</v>
      </c>
      <c r="Q155" s="259">
        <v>0</v>
      </c>
      <c r="R155" s="259">
        <v>0</v>
      </c>
      <c r="S155" s="259">
        <v>0</v>
      </c>
      <c r="T155" s="259">
        <v>0</v>
      </c>
      <c r="U155" s="259">
        <v>0</v>
      </c>
      <c r="V155" s="259">
        <v>0</v>
      </c>
      <c r="W155" s="259">
        <v>0</v>
      </c>
      <c r="X155" s="259">
        <v>0</v>
      </c>
      <c r="Y155" s="259">
        <v>0</v>
      </c>
      <c r="Z155" s="259">
        <v>0</v>
      </c>
      <c r="AA155" s="259">
        <v>0</v>
      </c>
      <c r="AB155" s="259">
        <v>0</v>
      </c>
      <c r="AC155" s="259">
        <v>0</v>
      </c>
      <c r="AD155" s="259">
        <v>0</v>
      </c>
      <c r="AE155" s="259">
        <v>0</v>
      </c>
      <c r="AF155" s="259">
        <v>0</v>
      </c>
      <c r="AG155" s="259">
        <v>0</v>
      </c>
      <c r="AH155" s="259">
        <v>0</v>
      </c>
      <c r="AI155" s="259">
        <v>0</v>
      </c>
      <c r="AJ155" s="259">
        <v>0</v>
      </c>
      <c r="AK155" s="259">
        <v>0</v>
      </c>
      <c r="AL155" s="259">
        <v>0</v>
      </c>
      <c r="AM155" s="259">
        <v>0</v>
      </c>
      <c r="AN155" s="259">
        <v>0</v>
      </c>
      <c r="AO155" s="259">
        <v>0</v>
      </c>
      <c r="AP155" s="259">
        <v>0</v>
      </c>
      <c r="AQ155" s="259">
        <v>0</v>
      </c>
      <c r="AR155" s="259">
        <v>0</v>
      </c>
      <c r="AS155" s="259">
        <v>0</v>
      </c>
      <c r="AT155" s="259">
        <v>0</v>
      </c>
      <c r="AU155" s="259">
        <v>0</v>
      </c>
      <c r="AV155" s="259">
        <v>0</v>
      </c>
      <c r="AW155" s="259">
        <v>0</v>
      </c>
      <c r="AX155" s="259">
        <v>0</v>
      </c>
      <c r="AY155" s="259">
        <v>0</v>
      </c>
      <c r="AZ155" s="259">
        <v>0</v>
      </c>
      <c r="BA155" s="259">
        <v>0</v>
      </c>
      <c r="BB155" s="259">
        <v>0</v>
      </c>
      <c r="BC155" s="259">
        <v>0</v>
      </c>
      <c r="BD155" s="259">
        <v>0</v>
      </c>
      <c r="BE155" s="259">
        <v>0</v>
      </c>
      <c r="BF155" s="259">
        <v>0</v>
      </c>
    </row>
    <row r="156" spans="1:58" x14ac:dyDescent="0.3">
      <c r="A156" s="263" t="s">
        <v>924</v>
      </c>
      <c r="B156" s="264" t="s">
        <v>792</v>
      </c>
      <c r="C156" s="259">
        <v>0</v>
      </c>
      <c r="D156" s="259">
        <v>0</v>
      </c>
      <c r="E156" s="259">
        <v>0</v>
      </c>
      <c r="F156" s="259">
        <v>0</v>
      </c>
      <c r="G156" s="259">
        <v>0</v>
      </c>
      <c r="H156" s="259">
        <v>0</v>
      </c>
      <c r="I156" s="259">
        <v>0</v>
      </c>
      <c r="J156" s="259">
        <v>0</v>
      </c>
      <c r="K156" s="259">
        <v>0</v>
      </c>
      <c r="L156" s="259">
        <v>0</v>
      </c>
      <c r="M156" s="259">
        <v>0</v>
      </c>
      <c r="N156" s="259">
        <v>0</v>
      </c>
      <c r="O156" s="259">
        <v>0</v>
      </c>
      <c r="P156" s="259">
        <v>0</v>
      </c>
      <c r="Q156" s="259">
        <v>0</v>
      </c>
      <c r="R156" s="259">
        <v>0</v>
      </c>
      <c r="S156" s="259">
        <v>0</v>
      </c>
      <c r="T156" s="259">
        <v>0</v>
      </c>
      <c r="U156" s="259">
        <v>0</v>
      </c>
      <c r="V156" s="259">
        <v>0</v>
      </c>
      <c r="W156" s="259">
        <v>0</v>
      </c>
      <c r="X156" s="259">
        <v>0</v>
      </c>
      <c r="Y156" s="259">
        <v>0</v>
      </c>
      <c r="Z156" s="259">
        <v>0</v>
      </c>
      <c r="AA156" s="259">
        <v>0</v>
      </c>
      <c r="AB156" s="259">
        <v>0</v>
      </c>
      <c r="AC156" s="259">
        <v>0</v>
      </c>
      <c r="AD156" s="259">
        <v>0</v>
      </c>
      <c r="AE156" s="259">
        <v>0</v>
      </c>
      <c r="AF156" s="259">
        <v>0</v>
      </c>
      <c r="AG156" s="259">
        <v>0</v>
      </c>
      <c r="AH156" s="259">
        <v>0</v>
      </c>
      <c r="AI156" s="259">
        <v>0</v>
      </c>
      <c r="AJ156" s="259">
        <v>0</v>
      </c>
      <c r="AK156" s="259">
        <v>0</v>
      </c>
      <c r="AL156" s="259">
        <v>0</v>
      </c>
      <c r="AM156" s="259">
        <v>0</v>
      </c>
      <c r="AN156" s="259">
        <v>0</v>
      </c>
      <c r="AO156" s="259">
        <v>0</v>
      </c>
      <c r="AP156" s="259">
        <v>0</v>
      </c>
      <c r="AQ156" s="259">
        <v>0</v>
      </c>
      <c r="AR156" s="259">
        <v>0</v>
      </c>
      <c r="AS156" s="259">
        <v>0</v>
      </c>
      <c r="AT156" s="259">
        <v>0</v>
      </c>
      <c r="AU156" s="259">
        <v>0</v>
      </c>
      <c r="AV156" s="259">
        <v>0</v>
      </c>
      <c r="AW156" s="259">
        <v>0</v>
      </c>
      <c r="AX156" s="259">
        <v>0</v>
      </c>
      <c r="AY156" s="259">
        <v>0</v>
      </c>
      <c r="AZ156" s="259">
        <v>0</v>
      </c>
      <c r="BA156" s="259">
        <v>0</v>
      </c>
      <c r="BB156" s="259">
        <v>0</v>
      </c>
      <c r="BC156" s="259">
        <v>0</v>
      </c>
      <c r="BD156" s="259">
        <v>0</v>
      </c>
      <c r="BE156" s="259">
        <v>0</v>
      </c>
      <c r="BF156" s="259">
        <v>0</v>
      </c>
    </row>
    <row r="157" spans="1:58" x14ac:dyDescent="0.3">
      <c r="A157" s="260" t="s">
        <v>925</v>
      </c>
      <c r="B157" s="261" t="s">
        <v>792</v>
      </c>
      <c r="C157" s="262">
        <v>0</v>
      </c>
      <c r="D157" s="262">
        <v>0</v>
      </c>
      <c r="E157" s="262">
        <v>0</v>
      </c>
      <c r="F157" s="262">
        <v>0</v>
      </c>
      <c r="G157" s="262">
        <v>0</v>
      </c>
      <c r="H157" s="262">
        <v>0</v>
      </c>
      <c r="I157" s="262">
        <v>0</v>
      </c>
      <c r="J157" s="262">
        <v>0</v>
      </c>
      <c r="K157" s="262">
        <v>0</v>
      </c>
      <c r="L157" s="262">
        <v>0</v>
      </c>
      <c r="M157" s="262">
        <v>0</v>
      </c>
      <c r="N157" s="262">
        <v>0</v>
      </c>
      <c r="O157" s="262">
        <v>0</v>
      </c>
      <c r="P157" s="262">
        <v>0</v>
      </c>
      <c r="Q157" s="262">
        <v>0</v>
      </c>
      <c r="R157" s="262">
        <v>0</v>
      </c>
      <c r="S157" s="262">
        <v>0</v>
      </c>
      <c r="T157" s="262">
        <v>0</v>
      </c>
      <c r="U157" s="262">
        <v>0</v>
      </c>
      <c r="V157" s="262">
        <v>0</v>
      </c>
      <c r="W157" s="262">
        <v>0</v>
      </c>
      <c r="X157" s="262">
        <v>0</v>
      </c>
      <c r="Y157" s="262">
        <v>0</v>
      </c>
      <c r="Z157" s="262">
        <v>0</v>
      </c>
      <c r="AA157" s="262">
        <v>0</v>
      </c>
      <c r="AB157" s="262">
        <v>0</v>
      </c>
      <c r="AC157" s="262">
        <v>0</v>
      </c>
      <c r="AD157" s="262">
        <v>0</v>
      </c>
      <c r="AE157" s="262">
        <v>0</v>
      </c>
      <c r="AF157" s="262">
        <v>0</v>
      </c>
      <c r="AG157" s="262">
        <v>0</v>
      </c>
      <c r="AH157" s="262">
        <v>0</v>
      </c>
      <c r="AI157" s="262">
        <v>0</v>
      </c>
      <c r="AJ157" s="262">
        <v>0</v>
      </c>
      <c r="AK157" s="262">
        <v>0</v>
      </c>
      <c r="AL157" s="262">
        <v>0</v>
      </c>
      <c r="AM157" s="262">
        <v>0</v>
      </c>
      <c r="AN157" s="262">
        <v>0</v>
      </c>
      <c r="AO157" s="262">
        <v>0</v>
      </c>
      <c r="AP157" s="262">
        <v>0</v>
      </c>
      <c r="AQ157" s="262">
        <v>0</v>
      </c>
      <c r="AR157" s="262">
        <v>0</v>
      </c>
      <c r="AS157" s="262">
        <v>0</v>
      </c>
      <c r="AT157" s="262">
        <v>0</v>
      </c>
      <c r="AU157" s="262">
        <v>0</v>
      </c>
      <c r="AV157" s="262">
        <v>0</v>
      </c>
      <c r="AW157" s="262">
        <v>0</v>
      </c>
      <c r="AX157" s="262">
        <v>0</v>
      </c>
      <c r="AY157" s="262">
        <v>0</v>
      </c>
      <c r="AZ157" s="262">
        <v>0</v>
      </c>
      <c r="BA157" s="262">
        <v>0</v>
      </c>
      <c r="BB157" s="262">
        <v>0</v>
      </c>
      <c r="BC157" s="262">
        <v>0</v>
      </c>
      <c r="BD157" s="262">
        <v>0</v>
      </c>
      <c r="BE157" s="262">
        <v>0</v>
      </c>
      <c r="BF157" s="262">
        <v>0</v>
      </c>
    </row>
    <row r="158" spans="1:58" x14ac:dyDescent="0.3">
      <c r="A158" s="263" t="s">
        <v>926</v>
      </c>
      <c r="B158" s="264" t="s">
        <v>792</v>
      </c>
      <c r="C158" s="259">
        <v>0</v>
      </c>
      <c r="D158" s="259">
        <v>0</v>
      </c>
      <c r="E158" s="259">
        <v>0</v>
      </c>
      <c r="F158" s="259">
        <v>0</v>
      </c>
      <c r="G158" s="259">
        <v>0</v>
      </c>
      <c r="H158" s="259">
        <v>0</v>
      </c>
      <c r="I158" s="259">
        <v>0</v>
      </c>
      <c r="J158" s="259">
        <v>0</v>
      </c>
      <c r="K158" s="259">
        <v>0</v>
      </c>
      <c r="L158" s="259">
        <v>0</v>
      </c>
      <c r="M158" s="259">
        <v>0</v>
      </c>
      <c r="N158" s="259">
        <v>0</v>
      </c>
      <c r="O158" s="259">
        <v>0</v>
      </c>
      <c r="P158" s="259">
        <v>0</v>
      </c>
      <c r="Q158" s="259">
        <v>0</v>
      </c>
      <c r="R158" s="259">
        <v>0</v>
      </c>
      <c r="S158" s="259">
        <v>0</v>
      </c>
      <c r="T158" s="259">
        <v>0</v>
      </c>
      <c r="U158" s="259">
        <v>0</v>
      </c>
      <c r="V158" s="259">
        <v>0</v>
      </c>
      <c r="W158" s="259">
        <v>0</v>
      </c>
      <c r="X158" s="259">
        <v>0</v>
      </c>
      <c r="Y158" s="259">
        <v>0</v>
      </c>
      <c r="Z158" s="259">
        <v>0</v>
      </c>
      <c r="AA158" s="259">
        <v>0</v>
      </c>
      <c r="AB158" s="259">
        <v>0</v>
      </c>
      <c r="AC158" s="259">
        <v>0</v>
      </c>
      <c r="AD158" s="259">
        <v>0</v>
      </c>
      <c r="AE158" s="259">
        <v>0</v>
      </c>
      <c r="AF158" s="259">
        <v>0</v>
      </c>
      <c r="AG158" s="259">
        <v>0</v>
      </c>
      <c r="AH158" s="259">
        <v>0</v>
      </c>
      <c r="AI158" s="259">
        <v>0</v>
      </c>
      <c r="AJ158" s="259">
        <v>0</v>
      </c>
      <c r="AK158" s="259">
        <v>0</v>
      </c>
      <c r="AL158" s="259">
        <v>0</v>
      </c>
      <c r="AM158" s="259">
        <v>0</v>
      </c>
      <c r="AN158" s="259">
        <v>0</v>
      </c>
      <c r="AO158" s="259">
        <v>0</v>
      </c>
      <c r="AP158" s="259">
        <v>0</v>
      </c>
      <c r="AQ158" s="259">
        <v>0</v>
      </c>
      <c r="AR158" s="259">
        <v>0</v>
      </c>
      <c r="AS158" s="259">
        <v>0</v>
      </c>
      <c r="AT158" s="259">
        <v>0</v>
      </c>
      <c r="AU158" s="259">
        <v>0</v>
      </c>
      <c r="AV158" s="259">
        <v>0</v>
      </c>
      <c r="AW158" s="259">
        <v>0</v>
      </c>
      <c r="AX158" s="259">
        <v>0</v>
      </c>
      <c r="AY158" s="259">
        <v>0</v>
      </c>
      <c r="AZ158" s="259">
        <v>0</v>
      </c>
      <c r="BA158" s="259">
        <v>0</v>
      </c>
      <c r="BB158" s="259">
        <v>0</v>
      </c>
      <c r="BC158" s="259">
        <v>0</v>
      </c>
      <c r="BD158" s="259">
        <v>0</v>
      </c>
      <c r="BE158" s="259">
        <v>0</v>
      </c>
      <c r="BF158" s="259">
        <v>0</v>
      </c>
    </row>
    <row r="159" spans="1:58" x14ac:dyDescent="0.3">
      <c r="A159" s="263" t="s">
        <v>927</v>
      </c>
      <c r="B159" s="264" t="s">
        <v>792</v>
      </c>
      <c r="C159" s="259">
        <v>0</v>
      </c>
      <c r="D159" s="259">
        <v>0</v>
      </c>
      <c r="E159" s="259">
        <v>0</v>
      </c>
      <c r="F159" s="259">
        <v>0</v>
      </c>
      <c r="G159" s="259">
        <v>0</v>
      </c>
      <c r="H159" s="259">
        <v>0</v>
      </c>
      <c r="I159" s="259">
        <v>0</v>
      </c>
      <c r="J159" s="259">
        <v>0</v>
      </c>
      <c r="K159" s="259">
        <v>0</v>
      </c>
      <c r="L159" s="259">
        <v>0</v>
      </c>
      <c r="M159" s="259">
        <v>0</v>
      </c>
      <c r="N159" s="259">
        <v>0</v>
      </c>
      <c r="O159" s="259">
        <v>0</v>
      </c>
      <c r="P159" s="259">
        <v>0</v>
      </c>
      <c r="Q159" s="259">
        <v>0</v>
      </c>
      <c r="R159" s="259">
        <v>0</v>
      </c>
      <c r="S159" s="259">
        <v>0</v>
      </c>
      <c r="T159" s="259">
        <v>0</v>
      </c>
      <c r="U159" s="259">
        <v>0</v>
      </c>
      <c r="V159" s="259">
        <v>0</v>
      </c>
      <c r="W159" s="259">
        <v>0</v>
      </c>
      <c r="X159" s="259">
        <v>0</v>
      </c>
      <c r="Y159" s="259">
        <v>0</v>
      </c>
      <c r="Z159" s="259">
        <v>0</v>
      </c>
      <c r="AA159" s="259">
        <v>0</v>
      </c>
      <c r="AB159" s="259">
        <v>0</v>
      </c>
      <c r="AC159" s="259">
        <v>0</v>
      </c>
      <c r="AD159" s="259">
        <v>0</v>
      </c>
      <c r="AE159" s="259">
        <v>0</v>
      </c>
      <c r="AF159" s="259">
        <v>0</v>
      </c>
      <c r="AG159" s="259">
        <v>0</v>
      </c>
      <c r="AH159" s="259">
        <v>0</v>
      </c>
      <c r="AI159" s="259">
        <v>0</v>
      </c>
      <c r="AJ159" s="259">
        <v>0</v>
      </c>
      <c r="AK159" s="259">
        <v>0</v>
      </c>
      <c r="AL159" s="259">
        <v>0</v>
      </c>
      <c r="AM159" s="259">
        <v>0</v>
      </c>
      <c r="AN159" s="259">
        <v>0</v>
      </c>
      <c r="AO159" s="259">
        <v>0</v>
      </c>
      <c r="AP159" s="259">
        <v>0</v>
      </c>
      <c r="AQ159" s="259">
        <v>0</v>
      </c>
      <c r="AR159" s="259">
        <v>0</v>
      </c>
      <c r="AS159" s="259">
        <v>0</v>
      </c>
      <c r="AT159" s="259">
        <v>0</v>
      </c>
      <c r="AU159" s="259">
        <v>0</v>
      </c>
      <c r="AV159" s="259">
        <v>0</v>
      </c>
      <c r="AW159" s="259">
        <v>0</v>
      </c>
      <c r="AX159" s="259">
        <v>0</v>
      </c>
      <c r="AY159" s="259">
        <v>0</v>
      </c>
      <c r="AZ159" s="259">
        <v>0</v>
      </c>
      <c r="BA159" s="259">
        <v>0</v>
      </c>
      <c r="BB159" s="259">
        <v>0</v>
      </c>
      <c r="BC159" s="259">
        <v>0</v>
      </c>
      <c r="BD159" s="259">
        <v>0</v>
      </c>
      <c r="BE159" s="259">
        <v>0</v>
      </c>
      <c r="BF159" s="259">
        <v>0</v>
      </c>
    </row>
    <row r="160" spans="1:58" x14ac:dyDescent="0.3">
      <c r="A160" s="263" t="s">
        <v>928</v>
      </c>
      <c r="B160" s="264" t="s">
        <v>792</v>
      </c>
      <c r="C160" s="259">
        <v>0</v>
      </c>
      <c r="D160" s="259">
        <v>0</v>
      </c>
      <c r="E160" s="259">
        <v>0</v>
      </c>
      <c r="F160" s="259">
        <v>0</v>
      </c>
      <c r="G160" s="259">
        <v>0</v>
      </c>
      <c r="H160" s="259">
        <v>0</v>
      </c>
      <c r="I160" s="259">
        <v>0</v>
      </c>
      <c r="J160" s="259">
        <v>0</v>
      </c>
      <c r="K160" s="259">
        <v>0</v>
      </c>
      <c r="L160" s="259">
        <v>0</v>
      </c>
      <c r="M160" s="259">
        <v>0</v>
      </c>
      <c r="N160" s="259">
        <v>0</v>
      </c>
      <c r="O160" s="259">
        <v>0</v>
      </c>
      <c r="P160" s="259">
        <v>0</v>
      </c>
      <c r="Q160" s="259">
        <v>0</v>
      </c>
      <c r="R160" s="259">
        <v>0</v>
      </c>
      <c r="S160" s="259">
        <v>0</v>
      </c>
      <c r="T160" s="259">
        <v>0</v>
      </c>
      <c r="U160" s="259">
        <v>0</v>
      </c>
      <c r="V160" s="259">
        <v>0</v>
      </c>
      <c r="W160" s="259">
        <v>0</v>
      </c>
      <c r="X160" s="259">
        <v>0</v>
      </c>
      <c r="Y160" s="259">
        <v>0</v>
      </c>
      <c r="Z160" s="259">
        <v>0</v>
      </c>
      <c r="AA160" s="259">
        <v>0</v>
      </c>
      <c r="AB160" s="259">
        <v>0</v>
      </c>
      <c r="AC160" s="259">
        <v>0</v>
      </c>
      <c r="AD160" s="259">
        <v>0</v>
      </c>
      <c r="AE160" s="259">
        <v>0</v>
      </c>
      <c r="AF160" s="259">
        <v>0</v>
      </c>
      <c r="AG160" s="259">
        <v>0</v>
      </c>
      <c r="AH160" s="259">
        <v>0</v>
      </c>
      <c r="AI160" s="259">
        <v>0</v>
      </c>
      <c r="AJ160" s="259">
        <v>0</v>
      </c>
      <c r="AK160" s="259">
        <v>0</v>
      </c>
      <c r="AL160" s="259">
        <v>0</v>
      </c>
      <c r="AM160" s="259">
        <v>0</v>
      </c>
      <c r="AN160" s="259">
        <v>0</v>
      </c>
      <c r="AO160" s="259">
        <v>0</v>
      </c>
      <c r="AP160" s="259">
        <v>0</v>
      </c>
      <c r="AQ160" s="259">
        <v>0</v>
      </c>
      <c r="AR160" s="259">
        <v>0</v>
      </c>
      <c r="AS160" s="259">
        <v>0</v>
      </c>
      <c r="AT160" s="259">
        <v>0</v>
      </c>
      <c r="AU160" s="259">
        <v>0</v>
      </c>
      <c r="AV160" s="259">
        <v>0</v>
      </c>
      <c r="AW160" s="259">
        <v>0</v>
      </c>
      <c r="AX160" s="259">
        <v>0</v>
      </c>
      <c r="AY160" s="259">
        <v>0</v>
      </c>
      <c r="AZ160" s="259">
        <v>0</v>
      </c>
      <c r="BA160" s="259">
        <v>0</v>
      </c>
      <c r="BB160" s="259">
        <v>0</v>
      </c>
      <c r="BC160" s="259">
        <v>0</v>
      </c>
      <c r="BD160" s="259">
        <v>0</v>
      </c>
      <c r="BE160" s="259">
        <v>0</v>
      </c>
      <c r="BF160" s="259">
        <v>0</v>
      </c>
    </row>
    <row r="161" spans="1:58" x14ac:dyDescent="0.3">
      <c r="A161" s="258" t="s">
        <v>929</v>
      </c>
      <c r="B161" s="259">
        <v>406866</v>
      </c>
      <c r="C161" s="259">
        <v>395564</v>
      </c>
      <c r="D161" s="259">
        <v>402320</v>
      </c>
      <c r="E161" s="259">
        <v>384494</v>
      </c>
      <c r="F161" s="259">
        <v>2660457</v>
      </c>
      <c r="G161" s="259">
        <v>2653050</v>
      </c>
      <c r="H161" s="259">
        <v>3929551</v>
      </c>
      <c r="I161" s="259">
        <v>3949242</v>
      </c>
      <c r="J161" s="259">
        <v>3871719</v>
      </c>
      <c r="K161" s="259">
        <v>3913844</v>
      </c>
      <c r="L161" s="259">
        <v>3844494</v>
      </c>
      <c r="M161" s="259">
        <v>3722348</v>
      </c>
      <c r="N161" s="259">
        <v>3659377</v>
      </c>
      <c r="O161" s="259">
        <v>3574096</v>
      </c>
      <c r="P161" s="259">
        <v>3231086</v>
      </c>
      <c r="Q161" s="259">
        <v>2364625</v>
      </c>
      <c r="R161" s="259">
        <v>1454598</v>
      </c>
      <c r="S161" s="259">
        <v>1470098</v>
      </c>
      <c r="T161" s="259">
        <v>1470858</v>
      </c>
      <c r="U161" s="259">
        <v>1515186</v>
      </c>
      <c r="V161" s="259">
        <v>621733</v>
      </c>
      <c r="W161" s="259">
        <v>627568</v>
      </c>
      <c r="X161" s="259">
        <v>606134</v>
      </c>
      <c r="Y161" s="259">
        <v>678864</v>
      </c>
      <c r="Z161" s="259">
        <v>914105</v>
      </c>
      <c r="AA161" s="259">
        <v>834993</v>
      </c>
      <c r="AB161" s="259">
        <v>774526</v>
      </c>
      <c r="AC161" s="259">
        <v>847552</v>
      </c>
      <c r="AD161" s="259">
        <v>834152</v>
      </c>
      <c r="AE161" s="259">
        <v>904659</v>
      </c>
      <c r="AF161" s="259">
        <v>930824</v>
      </c>
      <c r="AG161" s="259">
        <v>970108</v>
      </c>
      <c r="AH161" s="259">
        <v>860483</v>
      </c>
      <c r="AI161" s="259">
        <v>881116</v>
      </c>
      <c r="AJ161" s="259">
        <v>941004</v>
      </c>
      <c r="AK161" s="259">
        <v>959645</v>
      </c>
      <c r="AL161" s="259">
        <v>1006596</v>
      </c>
      <c r="AM161" s="259">
        <v>1032595</v>
      </c>
      <c r="AN161" s="259">
        <v>1199765</v>
      </c>
      <c r="AO161" s="259">
        <v>1315232</v>
      </c>
      <c r="AP161" s="259">
        <v>2165101</v>
      </c>
      <c r="AQ161" s="259">
        <v>2562657</v>
      </c>
      <c r="AR161" s="259">
        <v>2581166</v>
      </c>
      <c r="AS161" s="259">
        <v>2542845</v>
      </c>
      <c r="AT161" s="259">
        <v>3151263</v>
      </c>
      <c r="AU161" s="259">
        <v>5335225</v>
      </c>
      <c r="AV161" s="259">
        <v>5421757</v>
      </c>
      <c r="AW161" s="259">
        <v>5686920</v>
      </c>
      <c r="AX161" s="259">
        <v>6620249</v>
      </c>
      <c r="AY161" s="259">
        <v>6722946</v>
      </c>
      <c r="AZ161" s="259">
        <v>8171627</v>
      </c>
      <c r="BA161" s="259">
        <v>9237921</v>
      </c>
      <c r="BB161" s="259">
        <v>9892017</v>
      </c>
      <c r="BC161" s="259">
        <v>10628965</v>
      </c>
      <c r="BD161" s="259">
        <v>10753888</v>
      </c>
      <c r="BE161" s="259">
        <v>12901104</v>
      </c>
      <c r="BF161" s="259">
        <v>13878280</v>
      </c>
    </row>
    <row r="162" spans="1:58" x14ac:dyDescent="0.3">
      <c r="A162" s="260" t="s">
        <v>930</v>
      </c>
      <c r="B162" s="262">
        <v>0</v>
      </c>
      <c r="C162" s="262">
        <v>0</v>
      </c>
      <c r="D162" s="262">
        <v>-946</v>
      </c>
      <c r="E162" s="262">
        <v>32</v>
      </c>
      <c r="F162" s="262">
        <v>0</v>
      </c>
      <c r="G162" s="262">
        <v>0</v>
      </c>
      <c r="H162" s="262">
        <v>0</v>
      </c>
      <c r="I162" s="262">
        <v>0</v>
      </c>
      <c r="J162" s="262">
        <v>0</v>
      </c>
      <c r="K162" s="262">
        <v>0</v>
      </c>
      <c r="L162" s="262">
        <v>0</v>
      </c>
      <c r="M162" s="262">
        <v>0</v>
      </c>
      <c r="N162" s="262">
        <v>0</v>
      </c>
      <c r="O162" s="262">
        <v>0</v>
      </c>
      <c r="P162" s="262">
        <v>0</v>
      </c>
      <c r="Q162" s="262">
        <v>0</v>
      </c>
      <c r="R162" s="262">
        <v>0</v>
      </c>
      <c r="S162" s="262">
        <v>0</v>
      </c>
      <c r="T162" s="262">
        <v>0</v>
      </c>
      <c r="U162" s="262">
        <v>0</v>
      </c>
      <c r="V162" s="262">
        <v>0</v>
      </c>
      <c r="W162" s="262">
        <v>0</v>
      </c>
      <c r="X162" s="262">
        <v>0</v>
      </c>
      <c r="Y162" s="262">
        <v>-24208</v>
      </c>
      <c r="Z162" s="262">
        <v>0</v>
      </c>
      <c r="AA162" s="262">
        <v>0</v>
      </c>
      <c r="AB162" s="262">
        <v>0</v>
      </c>
      <c r="AC162" s="262">
        <v>0</v>
      </c>
      <c r="AD162" s="262">
        <v>0</v>
      </c>
      <c r="AE162" s="262">
        <v>0</v>
      </c>
      <c r="AF162" s="262">
        <v>0</v>
      </c>
      <c r="AG162" s="262">
        <v>0</v>
      </c>
      <c r="AH162" s="262">
        <v>0</v>
      </c>
      <c r="AI162" s="262">
        <v>0</v>
      </c>
      <c r="AJ162" s="262">
        <v>0</v>
      </c>
      <c r="AK162" s="262">
        <v>0</v>
      </c>
      <c r="AL162" s="262">
        <v>0</v>
      </c>
      <c r="AM162" s="262">
        <v>833</v>
      </c>
      <c r="AN162" s="262">
        <v>1161</v>
      </c>
      <c r="AO162" s="262">
        <v>1519</v>
      </c>
      <c r="AP162" s="262">
        <v>759</v>
      </c>
      <c r="AQ162" s="262">
        <v>979</v>
      </c>
      <c r="AR162" s="262">
        <v>993</v>
      </c>
      <c r="AS162" s="262">
        <v>1031</v>
      </c>
      <c r="AT162" s="262">
        <v>849</v>
      </c>
      <c r="AU162" s="262">
        <v>0</v>
      </c>
      <c r="AV162" s="262">
        <v>0</v>
      </c>
      <c r="AW162" s="262">
        <v>0</v>
      </c>
      <c r="AX162" s="262">
        <v>0</v>
      </c>
      <c r="AY162" s="262">
        <v>0</v>
      </c>
      <c r="AZ162" s="262">
        <v>0</v>
      </c>
      <c r="BA162" s="262">
        <v>0</v>
      </c>
      <c r="BB162" s="262">
        <v>0</v>
      </c>
      <c r="BC162" s="262">
        <v>0</v>
      </c>
      <c r="BD162" s="262">
        <v>0</v>
      </c>
      <c r="BE162" s="262">
        <v>0</v>
      </c>
      <c r="BF162" s="262">
        <v>0</v>
      </c>
    </row>
    <row r="163" spans="1:58" x14ac:dyDescent="0.3">
      <c r="A163" s="260" t="s">
        <v>931</v>
      </c>
      <c r="B163" s="262">
        <v>406866</v>
      </c>
      <c r="C163" s="262">
        <v>395564</v>
      </c>
      <c r="D163" s="262">
        <v>403266</v>
      </c>
      <c r="E163" s="262">
        <v>384462</v>
      </c>
      <c r="F163" s="262">
        <v>2660457</v>
      </c>
      <c r="G163" s="262">
        <v>2653050</v>
      </c>
      <c r="H163" s="262">
        <v>3929551</v>
      </c>
      <c r="I163" s="262">
        <v>3949242</v>
      </c>
      <c r="J163" s="262">
        <v>3871719</v>
      </c>
      <c r="K163" s="262">
        <v>3913844</v>
      </c>
      <c r="L163" s="262">
        <v>3844494</v>
      </c>
      <c r="M163" s="262">
        <v>3722348</v>
      </c>
      <c r="N163" s="262">
        <v>3659377</v>
      </c>
      <c r="O163" s="262">
        <v>3574096</v>
      </c>
      <c r="P163" s="262">
        <v>3231086</v>
      </c>
      <c r="Q163" s="262">
        <v>2364625</v>
      </c>
      <c r="R163" s="262">
        <v>1454598</v>
      </c>
      <c r="S163" s="262">
        <v>1470098</v>
      </c>
      <c r="T163" s="262">
        <v>1470858</v>
      </c>
      <c r="U163" s="262">
        <v>1515186</v>
      </c>
      <c r="V163" s="262">
        <v>621733</v>
      </c>
      <c r="W163" s="262">
        <v>627568</v>
      </c>
      <c r="X163" s="262">
        <v>606134</v>
      </c>
      <c r="Y163" s="262">
        <v>703072</v>
      </c>
      <c r="Z163" s="262">
        <v>914105</v>
      </c>
      <c r="AA163" s="262">
        <v>834993</v>
      </c>
      <c r="AB163" s="262">
        <v>774526</v>
      </c>
      <c r="AC163" s="262">
        <v>847552</v>
      </c>
      <c r="AD163" s="262">
        <v>834152</v>
      </c>
      <c r="AE163" s="262">
        <v>904659</v>
      </c>
      <c r="AF163" s="262">
        <v>930824</v>
      </c>
      <c r="AG163" s="262">
        <v>970108</v>
      </c>
      <c r="AH163" s="262">
        <v>860483</v>
      </c>
      <c r="AI163" s="262">
        <v>881116</v>
      </c>
      <c r="AJ163" s="262">
        <v>941004</v>
      </c>
      <c r="AK163" s="262">
        <v>959645</v>
      </c>
      <c r="AL163" s="262">
        <v>1006596</v>
      </c>
      <c r="AM163" s="262">
        <v>1031762</v>
      </c>
      <c r="AN163" s="262">
        <v>1198604</v>
      </c>
      <c r="AO163" s="262">
        <v>1313713</v>
      </c>
      <c r="AP163" s="262">
        <v>2164342</v>
      </c>
      <c r="AQ163" s="262">
        <v>2561678</v>
      </c>
      <c r="AR163" s="262">
        <v>2580173</v>
      </c>
      <c r="AS163" s="262">
        <v>2541814</v>
      </c>
      <c r="AT163" s="262">
        <v>3150414</v>
      </c>
      <c r="AU163" s="262">
        <v>5335225</v>
      </c>
      <c r="AV163" s="262">
        <v>5421757</v>
      </c>
      <c r="AW163" s="262">
        <v>5686920</v>
      </c>
      <c r="AX163" s="262">
        <v>6620249</v>
      </c>
      <c r="AY163" s="262">
        <v>6722946</v>
      </c>
      <c r="AZ163" s="262">
        <v>8171627</v>
      </c>
      <c r="BA163" s="262">
        <v>9237921</v>
      </c>
      <c r="BB163" s="262">
        <v>9892017</v>
      </c>
      <c r="BC163" s="262">
        <v>10628965</v>
      </c>
      <c r="BD163" s="262">
        <v>10753888</v>
      </c>
      <c r="BE163" s="262">
        <v>12901104</v>
      </c>
      <c r="BF163" s="262">
        <v>13878280</v>
      </c>
    </row>
    <row r="164" spans="1:58" x14ac:dyDescent="0.3">
      <c r="A164" s="263" t="s">
        <v>932</v>
      </c>
      <c r="B164" s="259">
        <v>4720</v>
      </c>
      <c r="C164" s="259">
        <v>4720</v>
      </c>
      <c r="D164" s="259">
        <v>4720</v>
      </c>
      <c r="E164" s="259">
        <v>4733</v>
      </c>
      <c r="F164" s="259">
        <v>2348623</v>
      </c>
      <c r="G164" s="259">
        <v>2361674</v>
      </c>
      <c r="H164" s="259">
        <v>3695109</v>
      </c>
      <c r="I164" s="259">
        <v>3767053</v>
      </c>
      <c r="J164" s="259">
        <v>3809535</v>
      </c>
      <c r="K164" s="259">
        <v>3815879</v>
      </c>
      <c r="L164" s="259">
        <v>3815997</v>
      </c>
      <c r="M164" s="259">
        <v>3816006</v>
      </c>
      <c r="N164" s="259">
        <v>3817130</v>
      </c>
      <c r="O164" s="259">
        <v>3818665</v>
      </c>
      <c r="P164" s="259">
        <v>3821205</v>
      </c>
      <c r="Q164" s="259">
        <v>3821205</v>
      </c>
      <c r="R164" s="259">
        <v>3821205</v>
      </c>
      <c r="S164" s="259">
        <v>3821205</v>
      </c>
      <c r="T164" s="259">
        <v>3821206</v>
      </c>
      <c r="U164" s="259">
        <v>3821206</v>
      </c>
      <c r="V164" s="259">
        <v>3821206</v>
      </c>
      <c r="W164" s="259">
        <v>3821206</v>
      </c>
      <c r="X164" s="259">
        <v>3209454</v>
      </c>
      <c r="Y164" s="259">
        <v>3209454</v>
      </c>
      <c r="Z164" s="259">
        <v>3265185</v>
      </c>
      <c r="AA164" s="259">
        <v>3265192</v>
      </c>
      <c r="AB164" s="259">
        <v>3265216</v>
      </c>
      <c r="AC164" s="259">
        <v>3265216</v>
      </c>
      <c r="AD164" s="259">
        <v>3265216</v>
      </c>
      <c r="AE164" s="259">
        <v>3265216</v>
      </c>
      <c r="AF164" s="259">
        <v>3265216</v>
      </c>
      <c r="AG164" s="259">
        <v>3265253</v>
      </c>
      <c r="AH164" s="259">
        <v>3265256</v>
      </c>
      <c r="AI164" s="259">
        <v>3273110</v>
      </c>
      <c r="AJ164" s="259">
        <v>3273114</v>
      </c>
      <c r="AK164" s="259">
        <v>3273114</v>
      </c>
      <c r="AL164" s="259">
        <v>3273114</v>
      </c>
      <c r="AM164" s="259">
        <v>3292211</v>
      </c>
      <c r="AN164" s="259">
        <v>3307246</v>
      </c>
      <c r="AO164" s="259">
        <v>3307246</v>
      </c>
      <c r="AP164" s="259">
        <v>3316411</v>
      </c>
      <c r="AQ164" s="259">
        <v>3326998</v>
      </c>
      <c r="AR164" s="259">
        <v>3326998</v>
      </c>
      <c r="AS164" s="259">
        <v>3326998</v>
      </c>
      <c r="AT164" s="259">
        <v>3326900</v>
      </c>
      <c r="AU164" s="259">
        <v>5305772</v>
      </c>
      <c r="AV164" s="259">
        <v>5303644</v>
      </c>
      <c r="AW164" s="259">
        <v>5303644</v>
      </c>
      <c r="AX164" s="259">
        <v>5303644</v>
      </c>
      <c r="AY164" s="259">
        <v>5320231</v>
      </c>
      <c r="AZ164" s="259">
        <v>5320231</v>
      </c>
      <c r="BA164" s="259">
        <v>5319674</v>
      </c>
      <c r="BB164" s="259">
        <v>5319674</v>
      </c>
      <c r="BC164" s="259">
        <v>5352792</v>
      </c>
      <c r="BD164" s="259">
        <v>5352792</v>
      </c>
      <c r="BE164" s="259">
        <v>5352792</v>
      </c>
      <c r="BF164" s="259">
        <v>5352792</v>
      </c>
    </row>
    <row r="165" spans="1:58" x14ac:dyDescent="0.3">
      <c r="A165" s="263" t="s">
        <v>933</v>
      </c>
      <c r="B165" s="259">
        <v>415084</v>
      </c>
      <c r="C165" s="259">
        <v>415084</v>
      </c>
      <c r="D165" s="259">
        <v>415084</v>
      </c>
      <c r="E165" s="259">
        <v>416915</v>
      </c>
      <c r="F165" s="259">
        <v>416914</v>
      </c>
      <c r="G165" s="259">
        <v>416914</v>
      </c>
      <c r="H165" s="259">
        <v>417964</v>
      </c>
      <c r="I165" s="259">
        <v>417964</v>
      </c>
      <c r="J165" s="259">
        <v>416914</v>
      </c>
      <c r="K165" s="259">
        <v>416914</v>
      </c>
      <c r="L165" s="259">
        <v>416914</v>
      </c>
      <c r="M165" s="259">
        <v>416914</v>
      </c>
      <c r="N165" s="259">
        <v>416914</v>
      </c>
      <c r="O165" s="259">
        <v>416914</v>
      </c>
      <c r="P165" s="259">
        <v>416914</v>
      </c>
      <c r="Q165" s="259">
        <v>416914</v>
      </c>
      <c r="R165" s="259">
        <v>416914</v>
      </c>
      <c r="S165" s="259">
        <v>416914</v>
      </c>
      <c r="T165" s="259">
        <v>416914</v>
      </c>
      <c r="U165" s="259">
        <v>416914</v>
      </c>
      <c r="V165" s="259">
        <v>416914</v>
      </c>
      <c r="W165" s="259">
        <v>416914</v>
      </c>
      <c r="X165" s="259">
        <v>101720</v>
      </c>
      <c r="Y165" s="259">
        <v>101720</v>
      </c>
      <c r="Z165" s="259">
        <v>101720</v>
      </c>
      <c r="AA165" s="259">
        <v>101720</v>
      </c>
      <c r="AB165" s="259">
        <v>101720</v>
      </c>
      <c r="AC165" s="259">
        <v>101720</v>
      </c>
      <c r="AD165" s="259">
        <v>100875</v>
      </c>
      <c r="AE165" s="259">
        <v>96549</v>
      </c>
      <c r="AF165" s="259">
        <v>93619</v>
      </c>
      <c r="AG165" s="259">
        <v>81099</v>
      </c>
      <c r="AH165" s="259">
        <v>82500</v>
      </c>
      <c r="AI165" s="259">
        <v>72997</v>
      </c>
      <c r="AJ165" s="259">
        <v>49067</v>
      </c>
      <c r="AK165" s="259">
        <v>50510</v>
      </c>
      <c r="AL165" s="259">
        <v>58183</v>
      </c>
      <c r="AM165" s="259">
        <v>82240</v>
      </c>
      <c r="AN165" s="259">
        <v>193448</v>
      </c>
      <c r="AO165" s="259">
        <v>198284</v>
      </c>
      <c r="AP165" s="259">
        <v>228027</v>
      </c>
      <c r="AQ165" s="259">
        <v>229312</v>
      </c>
      <c r="AR165" s="259">
        <v>231245</v>
      </c>
      <c r="AS165" s="259">
        <v>233362</v>
      </c>
      <c r="AT165" s="259">
        <v>321359</v>
      </c>
      <c r="AU165" s="259">
        <v>321483</v>
      </c>
      <c r="AV165" s="259">
        <v>322294</v>
      </c>
      <c r="AW165" s="259">
        <v>338879</v>
      </c>
      <c r="AX165" s="259">
        <v>348886</v>
      </c>
      <c r="AY165" s="259">
        <v>354036</v>
      </c>
      <c r="AZ165" s="259">
        <v>370351</v>
      </c>
      <c r="BA165" s="259">
        <v>381665</v>
      </c>
      <c r="BB165" s="259">
        <v>377427</v>
      </c>
      <c r="BC165" s="259">
        <v>199890</v>
      </c>
      <c r="BD165" s="259">
        <v>278597</v>
      </c>
      <c r="BE165" s="259">
        <v>295848</v>
      </c>
      <c r="BF165" s="259">
        <v>-171877</v>
      </c>
    </row>
    <row r="166" spans="1:58" x14ac:dyDescent="0.3">
      <c r="A166" s="265" t="s">
        <v>934</v>
      </c>
      <c r="B166" s="256" t="s">
        <v>792</v>
      </c>
      <c r="C166" s="256" t="s">
        <v>792</v>
      </c>
      <c r="D166" s="256" t="s">
        <v>792</v>
      </c>
      <c r="E166" s="256" t="s">
        <v>792</v>
      </c>
      <c r="F166" s="257">
        <v>416914</v>
      </c>
      <c r="G166" s="256" t="s">
        <v>792</v>
      </c>
      <c r="H166" s="257">
        <v>0</v>
      </c>
      <c r="I166" s="257">
        <v>416914</v>
      </c>
      <c r="J166" s="257">
        <v>416914</v>
      </c>
      <c r="K166" s="257">
        <v>416914</v>
      </c>
      <c r="L166" s="257">
        <v>416914</v>
      </c>
      <c r="M166" s="257">
        <v>416914</v>
      </c>
      <c r="N166" s="257">
        <v>416914</v>
      </c>
      <c r="O166" s="256" t="s">
        <v>792</v>
      </c>
      <c r="P166" s="256" t="s">
        <v>792</v>
      </c>
      <c r="Q166" s="256" t="s">
        <v>792</v>
      </c>
      <c r="R166" s="257">
        <v>416914</v>
      </c>
      <c r="S166" s="257">
        <v>416914</v>
      </c>
      <c r="T166" s="257">
        <v>416914</v>
      </c>
      <c r="U166" s="257">
        <v>416914</v>
      </c>
      <c r="V166" s="257">
        <v>416914</v>
      </c>
      <c r="W166" s="257">
        <v>416914</v>
      </c>
      <c r="X166" s="257">
        <v>101720</v>
      </c>
      <c r="Y166" s="257">
        <v>101720</v>
      </c>
      <c r="Z166" s="257">
        <v>101720</v>
      </c>
      <c r="AA166" s="257">
        <v>101720</v>
      </c>
      <c r="AB166" s="257">
        <v>101720</v>
      </c>
      <c r="AC166" s="257">
        <v>101720</v>
      </c>
      <c r="AD166" s="257">
        <v>100875</v>
      </c>
      <c r="AE166" s="257">
        <v>96549</v>
      </c>
      <c r="AF166" s="257">
        <v>93619</v>
      </c>
      <c r="AG166" s="257">
        <v>81099</v>
      </c>
      <c r="AH166" s="257">
        <v>82500</v>
      </c>
      <c r="AI166" s="257">
        <v>72997</v>
      </c>
      <c r="AJ166" s="257">
        <v>101720</v>
      </c>
      <c r="AK166" s="257">
        <v>101720</v>
      </c>
      <c r="AL166" s="257">
        <v>58183</v>
      </c>
      <c r="AM166" s="257">
        <v>16050</v>
      </c>
      <c r="AN166" s="256" t="s">
        <v>792</v>
      </c>
      <c r="AO166" s="257">
        <v>0</v>
      </c>
      <c r="AP166" s="257">
        <v>228027</v>
      </c>
      <c r="AQ166" s="257">
        <v>229312</v>
      </c>
      <c r="AR166" s="257">
        <v>231245</v>
      </c>
      <c r="AS166" s="257">
        <v>0</v>
      </c>
      <c r="AT166" s="257">
        <v>108991</v>
      </c>
      <c r="AU166" s="257">
        <v>108991</v>
      </c>
      <c r="AV166" s="257">
        <v>108991</v>
      </c>
      <c r="AW166" s="257">
        <v>108991</v>
      </c>
      <c r="AX166" s="257">
        <v>108991</v>
      </c>
      <c r="AY166" s="257">
        <v>108991</v>
      </c>
      <c r="AZ166" s="257">
        <v>119718</v>
      </c>
      <c r="BA166" s="257">
        <v>131031</v>
      </c>
      <c r="BB166" s="257">
        <v>119718</v>
      </c>
      <c r="BC166" s="257">
        <v>119718</v>
      </c>
      <c r="BD166" s="257">
        <v>119718</v>
      </c>
      <c r="BE166" s="257">
        <v>119718</v>
      </c>
      <c r="BF166" s="257">
        <v>-32809</v>
      </c>
    </row>
    <row r="167" spans="1:58" x14ac:dyDescent="0.3">
      <c r="A167" s="265" t="s">
        <v>935</v>
      </c>
      <c r="B167" s="256" t="s">
        <v>792</v>
      </c>
      <c r="C167" s="256" t="s">
        <v>792</v>
      </c>
      <c r="D167" s="256" t="s">
        <v>792</v>
      </c>
      <c r="E167" s="256" t="s">
        <v>792</v>
      </c>
      <c r="F167" s="257">
        <v>0</v>
      </c>
      <c r="G167" s="256" t="s">
        <v>792</v>
      </c>
      <c r="H167" s="257">
        <v>0</v>
      </c>
      <c r="I167" s="257">
        <v>0</v>
      </c>
      <c r="J167" s="257">
        <v>0</v>
      </c>
      <c r="K167" s="257">
        <v>0</v>
      </c>
      <c r="L167" s="257">
        <v>0</v>
      </c>
      <c r="M167" s="257">
        <v>0</v>
      </c>
      <c r="N167" s="257">
        <v>0</v>
      </c>
      <c r="O167" s="256" t="s">
        <v>792</v>
      </c>
      <c r="P167" s="256" t="s">
        <v>792</v>
      </c>
      <c r="Q167" s="256" t="s">
        <v>792</v>
      </c>
      <c r="R167" s="257">
        <v>0</v>
      </c>
      <c r="S167" s="257">
        <v>0</v>
      </c>
      <c r="T167" s="257">
        <v>0</v>
      </c>
      <c r="U167" s="257">
        <v>0</v>
      </c>
      <c r="V167" s="257">
        <v>0</v>
      </c>
      <c r="W167" s="257">
        <v>0</v>
      </c>
      <c r="X167" s="257">
        <v>0</v>
      </c>
      <c r="Y167" s="257">
        <v>0</v>
      </c>
      <c r="Z167" s="257">
        <v>0</v>
      </c>
      <c r="AA167" s="257">
        <v>0</v>
      </c>
      <c r="AB167" s="257">
        <v>0</v>
      </c>
      <c r="AC167" s="257">
        <v>0</v>
      </c>
      <c r="AD167" s="257">
        <v>0</v>
      </c>
      <c r="AE167" s="257">
        <v>0</v>
      </c>
      <c r="AF167" s="257">
        <v>0</v>
      </c>
      <c r="AG167" s="257">
        <v>0</v>
      </c>
      <c r="AH167" s="257">
        <v>0</v>
      </c>
      <c r="AI167" s="257">
        <v>0</v>
      </c>
      <c r="AJ167" s="257">
        <v>0</v>
      </c>
      <c r="AK167" s="257">
        <v>0</v>
      </c>
      <c r="AL167" s="257">
        <v>0</v>
      </c>
      <c r="AM167" s="257">
        <v>0</v>
      </c>
      <c r="AN167" s="256" t="s">
        <v>792</v>
      </c>
      <c r="AO167" s="257">
        <v>0</v>
      </c>
      <c r="AP167" s="257">
        <v>0</v>
      </c>
      <c r="AQ167" s="257">
        <v>0</v>
      </c>
      <c r="AR167" s="257">
        <v>0</v>
      </c>
      <c r="AS167" s="257">
        <v>0</v>
      </c>
      <c r="AT167" s="257">
        <v>0</v>
      </c>
      <c r="AU167" s="257">
        <v>0</v>
      </c>
      <c r="AV167" s="257">
        <v>0</v>
      </c>
      <c r="AW167" s="257">
        <v>0</v>
      </c>
      <c r="AX167" s="257">
        <v>0</v>
      </c>
      <c r="AY167" s="257">
        <v>0</v>
      </c>
      <c r="AZ167" s="257">
        <v>0</v>
      </c>
      <c r="BA167" s="257">
        <v>0</v>
      </c>
      <c r="BB167" s="257">
        <v>0</v>
      </c>
      <c r="BC167" s="257">
        <v>0</v>
      </c>
      <c r="BD167" s="257">
        <v>0</v>
      </c>
      <c r="BE167" s="257">
        <v>0</v>
      </c>
      <c r="BF167" s="257">
        <v>0</v>
      </c>
    </row>
    <row r="168" spans="1:58" x14ac:dyDescent="0.3">
      <c r="A168" s="265" t="s">
        <v>936</v>
      </c>
      <c r="B168" s="256" t="s">
        <v>792</v>
      </c>
      <c r="C168" s="256" t="s">
        <v>792</v>
      </c>
      <c r="D168" s="256" t="s">
        <v>792</v>
      </c>
      <c r="E168" s="256" t="s">
        <v>792</v>
      </c>
      <c r="F168" s="257">
        <v>0</v>
      </c>
      <c r="G168" s="256" t="s">
        <v>792</v>
      </c>
      <c r="H168" s="257">
        <v>0</v>
      </c>
      <c r="I168" s="257">
        <v>0</v>
      </c>
      <c r="J168" s="257">
        <v>0</v>
      </c>
      <c r="K168" s="257">
        <v>0</v>
      </c>
      <c r="L168" s="257">
        <v>0</v>
      </c>
      <c r="M168" s="257">
        <v>0</v>
      </c>
      <c r="N168" s="257">
        <v>0</v>
      </c>
      <c r="O168" s="256" t="s">
        <v>792</v>
      </c>
      <c r="P168" s="256" t="s">
        <v>792</v>
      </c>
      <c r="Q168" s="256" t="s">
        <v>792</v>
      </c>
      <c r="R168" s="257">
        <v>0</v>
      </c>
      <c r="S168" s="257">
        <v>0</v>
      </c>
      <c r="T168" s="257">
        <v>0</v>
      </c>
      <c r="U168" s="257">
        <v>0</v>
      </c>
      <c r="V168" s="257">
        <v>0</v>
      </c>
      <c r="W168" s="257">
        <v>0</v>
      </c>
      <c r="X168" s="257">
        <v>0</v>
      </c>
      <c r="Y168" s="257">
        <v>0</v>
      </c>
      <c r="Z168" s="257">
        <v>0</v>
      </c>
      <c r="AA168" s="257">
        <v>0</v>
      </c>
      <c r="AB168" s="257">
        <v>0</v>
      </c>
      <c r="AC168" s="257">
        <v>0</v>
      </c>
      <c r="AD168" s="257">
        <v>0</v>
      </c>
      <c r="AE168" s="257">
        <v>0</v>
      </c>
      <c r="AF168" s="257">
        <v>0</v>
      </c>
      <c r="AG168" s="257">
        <v>0</v>
      </c>
      <c r="AH168" s="257">
        <v>0</v>
      </c>
      <c r="AI168" s="257">
        <v>0</v>
      </c>
      <c r="AJ168" s="257">
        <v>0</v>
      </c>
      <c r="AK168" s="257">
        <v>0</v>
      </c>
      <c r="AL168" s="257">
        <v>0</v>
      </c>
      <c r="AM168" s="257">
        <v>0</v>
      </c>
      <c r="AN168" s="256" t="s">
        <v>792</v>
      </c>
      <c r="AO168" s="257">
        <v>0</v>
      </c>
      <c r="AP168" s="257">
        <v>0</v>
      </c>
      <c r="AQ168" s="257">
        <v>0</v>
      </c>
      <c r="AR168" s="257">
        <v>0</v>
      </c>
      <c r="AS168" s="257">
        <v>0</v>
      </c>
      <c r="AT168" s="257">
        <v>0</v>
      </c>
      <c r="AU168" s="257">
        <v>0</v>
      </c>
      <c r="AV168" s="257">
        <v>0</v>
      </c>
      <c r="AW168" s="257">
        <v>0</v>
      </c>
      <c r="AX168" s="257">
        <v>0</v>
      </c>
      <c r="AY168" s="257">
        <v>0</v>
      </c>
      <c r="AZ168" s="257">
        <v>0</v>
      </c>
      <c r="BA168" s="257">
        <v>0</v>
      </c>
      <c r="BB168" s="257">
        <v>0</v>
      </c>
      <c r="BC168" s="257">
        <v>0</v>
      </c>
      <c r="BD168" s="257">
        <v>0</v>
      </c>
      <c r="BE168" s="257">
        <v>0</v>
      </c>
      <c r="BF168" s="257">
        <v>0</v>
      </c>
    </row>
    <row r="169" spans="1:58" x14ac:dyDescent="0.3">
      <c r="A169" s="265" t="s">
        <v>937</v>
      </c>
      <c r="B169" s="256" t="s">
        <v>792</v>
      </c>
      <c r="C169" s="256" t="s">
        <v>792</v>
      </c>
      <c r="D169" s="256" t="s">
        <v>792</v>
      </c>
      <c r="E169" s="256" t="s">
        <v>792</v>
      </c>
      <c r="F169" s="257">
        <v>0</v>
      </c>
      <c r="G169" s="256" t="s">
        <v>792</v>
      </c>
      <c r="H169" s="257">
        <v>0</v>
      </c>
      <c r="I169" s="257">
        <v>0</v>
      </c>
      <c r="J169" s="257">
        <v>0</v>
      </c>
      <c r="K169" s="257">
        <v>0</v>
      </c>
      <c r="L169" s="257">
        <v>0</v>
      </c>
      <c r="M169" s="257">
        <v>0</v>
      </c>
      <c r="N169" s="257">
        <v>0</v>
      </c>
      <c r="O169" s="256" t="s">
        <v>792</v>
      </c>
      <c r="P169" s="256" t="s">
        <v>792</v>
      </c>
      <c r="Q169" s="256" t="s">
        <v>792</v>
      </c>
      <c r="R169" s="257">
        <v>0</v>
      </c>
      <c r="S169" s="257">
        <v>0</v>
      </c>
      <c r="T169" s="257">
        <v>0</v>
      </c>
      <c r="U169" s="257">
        <v>0</v>
      </c>
      <c r="V169" s="257">
        <v>0</v>
      </c>
      <c r="W169" s="257">
        <v>0</v>
      </c>
      <c r="X169" s="257">
        <v>0</v>
      </c>
      <c r="Y169" s="257">
        <v>0</v>
      </c>
      <c r="Z169" s="257">
        <v>0</v>
      </c>
      <c r="AA169" s="257">
        <v>0</v>
      </c>
      <c r="AB169" s="257">
        <v>0</v>
      </c>
      <c r="AC169" s="257">
        <v>0</v>
      </c>
      <c r="AD169" s="257">
        <v>0</v>
      </c>
      <c r="AE169" s="257">
        <v>0</v>
      </c>
      <c r="AF169" s="257">
        <v>0</v>
      </c>
      <c r="AG169" s="257">
        <v>0</v>
      </c>
      <c r="AH169" s="257">
        <v>0</v>
      </c>
      <c r="AI169" s="257">
        <v>0</v>
      </c>
      <c r="AJ169" s="257">
        <v>8385</v>
      </c>
      <c r="AK169" s="257">
        <v>10290</v>
      </c>
      <c r="AL169" s="257">
        <v>0</v>
      </c>
      <c r="AM169" s="257">
        <v>122151</v>
      </c>
      <c r="AN169" s="256" t="s">
        <v>792</v>
      </c>
      <c r="AO169" s="257">
        <v>215954</v>
      </c>
      <c r="AP169" s="257">
        <v>0</v>
      </c>
      <c r="AQ169" s="257">
        <v>0</v>
      </c>
      <c r="AR169" s="257">
        <v>0</v>
      </c>
      <c r="AS169" s="257">
        <v>189882</v>
      </c>
      <c r="AT169" s="257">
        <v>253242</v>
      </c>
      <c r="AU169" s="257">
        <v>253366</v>
      </c>
      <c r="AV169" s="257">
        <v>254177</v>
      </c>
      <c r="AW169" s="257">
        <v>270762</v>
      </c>
      <c r="AX169" s="257">
        <v>280769</v>
      </c>
      <c r="AY169" s="257">
        <v>285919</v>
      </c>
      <c r="AZ169" s="257">
        <v>291068</v>
      </c>
      <c r="BA169" s="257">
        <v>291068</v>
      </c>
      <c r="BB169" s="257">
        <v>316776</v>
      </c>
      <c r="BC169" s="257">
        <v>335350</v>
      </c>
      <c r="BD169" s="257">
        <v>359852</v>
      </c>
      <c r="BE169" s="257">
        <v>382645</v>
      </c>
      <c r="BF169" s="257">
        <v>406778</v>
      </c>
    </row>
    <row r="170" spans="1:58" x14ac:dyDescent="0.3">
      <c r="A170" s="265" t="s">
        <v>938</v>
      </c>
      <c r="B170" s="256" t="s">
        <v>792</v>
      </c>
      <c r="C170" s="256" t="s">
        <v>792</v>
      </c>
      <c r="D170" s="256" t="s">
        <v>792</v>
      </c>
      <c r="E170" s="256" t="s">
        <v>792</v>
      </c>
      <c r="F170" s="257">
        <v>0</v>
      </c>
      <c r="G170" s="256" t="s">
        <v>792</v>
      </c>
      <c r="H170" s="257">
        <v>0</v>
      </c>
      <c r="I170" s="257">
        <v>0</v>
      </c>
      <c r="J170" s="257">
        <v>0</v>
      </c>
      <c r="K170" s="257">
        <v>0</v>
      </c>
      <c r="L170" s="257">
        <v>0</v>
      </c>
      <c r="M170" s="257">
        <v>0</v>
      </c>
      <c r="N170" s="257">
        <v>0</v>
      </c>
      <c r="O170" s="256" t="s">
        <v>792</v>
      </c>
      <c r="P170" s="256" t="s">
        <v>792</v>
      </c>
      <c r="Q170" s="256" t="s">
        <v>792</v>
      </c>
      <c r="R170" s="257">
        <v>0</v>
      </c>
      <c r="S170" s="257">
        <v>0</v>
      </c>
      <c r="T170" s="257">
        <v>0</v>
      </c>
      <c r="U170" s="257">
        <v>0</v>
      </c>
      <c r="V170" s="257">
        <v>0</v>
      </c>
      <c r="W170" s="257">
        <v>0</v>
      </c>
      <c r="X170" s="257">
        <v>0</v>
      </c>
      <c r="Y170" s="257">
        <v>0</v>
      </c>
      <c r="Z170" s="257">
        <v>0</v>
      </c>
      <c r="AA170" s="257">
        <v>0</v>
      </c>
      <c r="AB170" s="257">
        <v>0</v>
      </c>
      <c r="AC170" s="257">
        <v>0</v>
      </c>
      <c r="AD170" s="257">
        <v>0</v>
      </c>
      <c r="AE170" s="257">
        <v>0</v>
      </c>
      <c r="AF170" s="257">
        <v>0</v>
      </c>
      <c r="AG170" s="257">
        <v>0</v>
      </c>
      <c r="AH170" s="257">
        <v>0</v>
      </c>
      <c r="AI170" s="257">
        <v>0</v>
      </c>
      <c r="AJ170" s="257">
        <v>-61038</v>
      </c>
      <c r="AK170" s="257">
        <v>-61500</v>
      </c>
      <c r="AL170" s="257">
        <v>0</v>
      </c>
      <c r="AM170" s="257">
        <v>-55961</v>
      </c>
      <c r="AN170" s="256" t="s">
        <v>792</v>
      </c>
      <c r="AO170" s="257">
        <v>-49463</v>
      </c>
      <c r="AP170" s="257">
        <v>0</v>
      </c>
      <c r="AQ170" s="257">
        <v>0</v>
      </c>
      <c r="AR170" s="257">
        <v>0</v>
      </c>
      <c r="AS170" s="257">
        <v>11687</v>
      </c>
      <c r="AT170" s="257">
        <v>-40874</v>
      </c>
      <c r="AU170" s="257">
        <v>-40874</v>
      </c>
      <c r="AV170" s="257">
        <v>-40874</v>
      </c>
      <c r="AW170" s="257">
        <v>-40874</v>
      </c>
      <c r="AX170" s="257">
        <v>-40874</v>
      </c>
      <c r="AY170" s="257">
        <v>-40874</v>
      </c>
      <c r="AZ170" s="257">
        <v>-40435</v>
      </c>
      <c r="BA170" s="257">
        <v>-40434</v>
      </c>
      <c r="BB170" s="257">
        <v>-59067</v>
      </c>
      <c r="BC170" s="257">
        <v>-109001</v>
      </c>
      <c r="BD170" s="257">
        <v>-59067</v>
      </c>
      <c r="BE170" s="257">
        <v>-59067</v>
      </c>
      <c r="BF170" s="257">
        <v>-545846</v>
      </c>
    </row>
    <row r="171" spans="1:58" x14ac:dyDescent="0.3">
      <c r="A171" s="265" t="s">
        <v>939</v>
      </c>
      <c r="B171" s="257">
        <v>0</v>
      </c>
      <c r="C171" s="257">
        <v>0</v>
      </c>
      <c r="D171" s="257">
        <v>0</v>
      </c>
      <c r="E171" s="257">
        <v>0</v>
      </c>
      <c r="F171" s="257">
        <v>0</v>
      </c>
      <c r="G171" s="256" t="s">
        <v>792</v>
      </c>
      <c r="H171" s="257">
        <v>1050</v>
      </c>
      <c r="I171" s="257">
        <v>1050</v>
      </c>
      <c r="J171" s="257">
        <v>0</v>
      </c>
      <c r="K171" s="257">
        <v>0</v>
      </c>
      <c r="L171" s="257">
        <v>0</v>
      </c>
      <c r="M171" s="257">
        <v>0</v>
      </c>
      <c r="N171" s="257">
        <v>0</v>
      </c>
      <c r="O171" s="256" t="s">
        <v>792</v>
      </c>
      <c r="P171" s="256" t="s">
        <v>792</v>
      </c>
      <c r="Q171" s="256" t="s">
        <v>792</v>
      </c>
      <c r="R171" s="257">
        <v>0</v>
      </c>
      <c r="S171" s="257">
        <v>0</v>
      </c>
      <c r="T171" s="257">
        <v>0</v>
      </c>
      <c r="U171" s="257">
        <v>0</v>
      </c>
      <c r="V171" s="257">
        <v>0</v>
      </c>
      <c r="W171" s="257">
        <v>0</v>
      </c>
      <c r="X171" s="257">
        <v>0</v>
      </c>
      <c r="Y171" s="257">
        <v>0</v>
      </c>
      <c r="Z171" s="257">
        <v>0</v>
      </c>
      <c r="AA171" s="257">
        <v>0</v>
      </c>
      <c r="AB171" s="257">
        <v>0</v>
      </c>
      <c r="AC171" s="257">
        <v>0</v>
      </c>
      <c r="AD171" s="257">
        <v>0</v>
      </c>
      <c r="AE171" s="257">
        <v>0</v>
      </c>
      <c r="AF171" s="257">
        <v>0</v>
      </c>
      <c r="AG171" s="257">
        <v>0</v>
      </c>
      <c r="AH171" s="257">
        <v>0</v>
      </c>
      <c r="AI171" s="257">
        <v>0</v>
      </c>
      <c r="AJ171" s="257">
        <v>0</v>
      </c>
      <c r="AK171" s="257">
        <v>0</v>
      </c>
      <c r="AL171" s="257">
        <v>0</v>
      </c>
      <c r="AM171" s="257">
        <v>0</v>
      </c>
      <c r="AN171" s="256" t="s">
        <v>792</v>
      </c>
      <c r="AO171" s="257">
        <v>0</v>
      </c>
      <c r="AP171" s="257">
        <v>0</v>
      </c>
      <c r="AQ171" s="257">
        <v>0</v>
      </c>
      <c r="AR171" s="257">
        <v>0</v>
      </c>
      <c r="AS171" s="257">
        <v>0</v>
      </c>
      <c r="AT171" s="257">
        <v>0</v>
      </c>
      <c r="AU171" s="257">
        <v>0</v>
      </c>
      <c r="AV171" s="257">
        <v>0</v>
      </c>
      <c r="AW171" s="257">
        <v>0</v>
      </c>
      <c r="AX171" s="257">
        <v>0</v>
      </c>
      <c r="AY171" s="257">
        <v>0</v>
      </c>
      <c r="AZ171" s="257">
        <v>0</v>
      </c>
      <c r="BA171" s="257">
        <v>0</v>
      </c>
      <c r="BB171" s="257">
        <v>0</v>
      </c>
      <c r="BC171" s="257">
        <v>-146177</v>
      </c>
      <c r="BD171" s="257">
        <v>0</v>
      </c>
      <c r="BE171" s="257">
        <v>-147448</v>
      </c>
      <c r="BF171" s="257">
        <v>0</v>
      </c>
    </row>
    <row r="172" spans="1:58" x14ac:dyDescent="0.3">
      <c r="A172" s="265" t="s">
        <v>798</v>
      </c>
      <c r="B172" s="256" t="s">
        <v>792</v>
      </c>
      <c r="C172" s="256" t="s">
        <v>792</v>
      </c>
      <c r="D172" s="256" t="s">
        <v>792</v>
      </c>
      <c r="E172" s="256" t="s">
        <v>792</v>
      </c>
      <c r="F172" s="257">
        <v>0</v>
      </c>
      <c r="G172" s="256" t="s">
        <v>792</v>
      </c>
      <c r="H172" s="257">
        <v>416914</v>
      </c>
      <c r="I172" s="257">
        <v>0</v>
      </c>
      <c r="J172" s="257">
        <v>0</v>
      </c>
      <c r="K172" s="257">
        <v>0</v>
      </c>
      <c r="L172" s="257">
        <v>0</v>
      </c>
      <c r="M172" s="257">
        <v>0</v>
      </c>
      <c r="N172" s="257">
        <v>0</v>
      </c>
      <c r="O172" s="256" t="s">
        <v>792</v>
      </c>
      <c r="P172" s="256" t="s">
        <v>792</v>
      </c>
      <c r="Q172" s="256" t="s">
        <v>792</v>
      </c>
      <c r="R172" s="257">
        <v>0</v>
      </c>
      <c r="S172" s="257">
        <v>0</v>
      </c>
      <c r="T172" s="257">
        <v>0</v>
      </c>
      <c r="U172" s="257">
        <v>0</v>
      </c>
      <c r="V172" s="257">
        <v>0</v>
      </c>
      <c r="W172" s="257">
        <v>0</v>
      </c>
      <c r="X172" s="257">
        <v>0</v>
      </c>
      <c r="Y172" s="257">
        <v>0</v>
      </c>
      <c r="Z172" s="257">
        <v>0</v>
      </c>
      <c r="AA172" s="257">
        <v>0</v>
      </c>
      <c r="AB172" s="257">
        <v>0</v>
      </c>
      <c r="AC172" s="257">
        <v>0</v>
      </c>
      <c r="AD172" s="257">
        <v>0</v>
      </c>
      <c r="AE172" s="257">
        <v>0</v>
      </c>
      <c r="AF172" s="257">
        <v>0</v>
      </c>
      <c r="AG172" s="257">
        <v>0</v>
      </c>
      <c r="AH172" s="257">
        <v>0</v>
      </c>
      <c r="AI172" s="257">
        <v>0</v>
      </c>
      <c r="AJ172" s="257">
        <v>0</v>
      </c>
      <c r="AK172" s="257">
        <v>0</v>
      </c>
      <c r="AL172" s="257">
        <v>0</v>
      </c>
      <c r="AM172" s="257">
        <v>0</v>
      </c>
      <c r="AN172" s="256" t="s">
        <v>792</v>
      </c>
      <c r="AO172" s="257">
        <v>31793</v>
      </c>
      <c r="AP172" s="257">
        <v>0</v>
      </c>
      <c r="AQ172" s="257">
        <v>0</v>
      </c>
      <c r="AR172" s="257">
        <v>0</v>
      </c>
      <c r="AS172" s="257">
        <v>31793</v>
      </c>
      <c r="AT172" s="257">
        <v>0</v>
      </c>
      <c r="AU172" s="257">
        <v>0</v>
      </c>
      <c r="AV172" s="257">
        <v>0</v>
      </c>
      <c r="AW172" s="257">
        <v>0</v>
      </c>
      <c r="AX172" s="257">
        <v>0</v>
      </c>
      <c r="AY172" s="257">
        <v>0</v>
      </c>
      <c r="AZ172" s="257">
        <v>0</v>
      </c>
      <c r="BA172" s="257">
        <v>0</v>
      </c>
      <c r="BB172" s="257">
        <v>0</v>
      </c>
      <c r="BC172" s="257">
        <v>0</v>
      </c>
      <c r="BD172" s="257">
        <v>-141906</v>
      </c>
      <c r="BE172" s="257">
        <v>0</v>
      </c>
      <c r="BF172" s="257">
        <v>0</v>
      </c>
    </row>
    <row r="173" spans="1:58" x14ac:dyDescent="0.3">
      <c r="A173" s="263" t="s">
        <v>940</v>
      </c>
      <c r="B173" s="259">
        <v>0</v>
      </c>
      <c r="C173" s="259">
        <v>0</v>
      </c>
      <c r="D173" s="259">
        <v>0</v>
      </c>
      <c r="E173" s="259">
        <v>0</v>
      </c>
      <c r="F173" s="259">
        <v>0</v>
      </c>
      <c r="G173" s="259">
        <v>0</v>
      </c>
      <c r="H173" s="259">
        <v>0</v>
      </c>
      <c r="I173" s="259">
        <v>0</v>
      </c>
      <c r="J173" s="259">
        <v>0</v>
      </c>
      <c r="K173" s="259">
        <v>0</v>
      </c>
      <c r="L173" s="259">
        <v>0</v>
      </c>
      <c r="M173" s="259">
        <v>0</v>
      </c>
      <c r="N173" s="259">
        <v>0</v>
      </c>
      <c r="O173" s="259">
        <v>0</v>
      </c>
      <c r="P173" s="259">
        <v>0</v>
      </c>
      <c r="Q173" s="259">
        <v>0</v>
      </c>
      <c r="R173" s="259">
        <v>0</v>
      </c>
      <c r="S173" s="259">
        <v>0</v>
      </c>
      <c r="T173" s="259">
        <v>0</v>
      </c>
      <c r="U173" s="259">
        <v>0</v>
      </c>
      <c r="V173" s="259">
        <v>0</v>
      </c>
      <c r="W173" s="259">
        <v>0</v>
      </c>
      <c r="X173" s="259">
        <v>0</v>
      </c>
      <c r="Y173" s="259">
        <v>0</v>
      </c>
      <c r="Z173" s="259">
        <v>0</v>
      </c>
      <c r="AA173" s="259">
        <v>0</v>
      </c>
      <c r="AB173" s="259">
        <v>0</v>
      </c>
      <c r="AC173" s="259">
        <v>0</v>
      </c>
      <c r="AD173" s="259">
        <v>0</v>
      </c>
      <c r="AE173" s="259">
        <v>0</v>
      </c>
      <c r="AF173" s="259">
        <v>0</v>
      </c>
      <c r="AG173" s="259">
        <v>0</v>
      </c>
      <c r="AH173" s="259">
        <v>0</v>
      </c>
      <c r="AI173" s="259">
        <v>0</v>
      </c>
      <c r="AJ173" s="259">
        <v>0</v>
      </c>
      <c r="AK173" s="259">
        <v>0</v>
      </c>
      <c r="AL173" s="259">
        <v>0</v>
      </c>
      <c r="AM173" s="259">
        <v>0</v>
      </c>
      <c r="AN173" s="259">
        <v>0</v>
      </c>
      <c r="AO173" s="259">
        <v>0</v>
      </c>
      <c r="AP173" s="259">
        <v>0</v>
      </c>
      <c r="AQ173" s="259">
        <v>0</v>
      </c>
      <c r="AR173" s="259">
        <v>0</v>
      </c>
      <c r="AS173" s="259">
        <v>0</v>
      </c>
      <c r="AT173" s="259">
        <v>0</v>
      </c>
      <c r="AU173" s="259">
        <v>0</v>
      </c>
      <c r="AV173" s="259">
        <v>0</v>
      </c>
      <c r="AW173" s="259">
        <v>0</v>
      </c>
      <c r="AX173" s="259">
        <v>0</v>
      </c>
      <c r="AY173" s="259">
        <v>0</v>
      </c>
      <c r="AZ173" s="259">
        <v>0</v>
      </c>
      <c r="BA173" s="259">
        <v>0</v>
      </c>
      <c r="BB173" s="259">
        <v>0</v>
      </c>
      <c r="BC173" s="259">
        <v>0</v>
      </c>
      <c r="BD173" s="259">
        <v>0</v>
      </c>
      <c r="BE173" s="259">
        <v>0</v>
      </c>
      <c r="BF173" s="259">
        <v>0</v>
      </c>
    </row>
    <row r="174" spans="1:58" x14ac:dyDescent="0.3">
      <c r="A174" s="263" t="s">
        <v>941</v>
      </c>
      <c r="B174" s="259">
        <v>-303</v>
      </c>
      <c r="C174" s="259">
        <v>-210</v>
      </c>
      <c r="D174" s="259">
        <v>0</v>
      </c>
      <c r="E174" s="259">
        <v>0</v>
      </c>
      <c r="F174" s="259">
        <v>0</v>
      </c>
      <c r="G174" s="259">
        <v>0</v>
      </c>
      <c r="H174" s="259">
        <v>0</v>
      </c>
      <c r="I174" s="259">
        <v>0</v>
      </c>
      <c r="J174" s="259">
        <v>0</v>
      </c>
      <c r="K174" s="259">
        <v>0</v>
      </c>
      <c r="L174" s="259">
        <v>0</v>
      </c>
      <c r="M174" s="259">
        <v>0</v>
      </c>
      <c r="N174" s="259">
        <v>0</v>
      </c>
      <c r="O174" s="259">
        <v>0</v>
      </c>
      <c r="P174" s="259">
        <v>0</v>
      </c>
      <c r="Q174" s="259">
        <v>0</v>
      </c>
      <c r="R174" s="259">
        <v>0</v>
      </c>
      <c r="S174" s="259">
        <v>0</v>
      </c>
      <c r="T174" s="259">
        <v>0</v>
      </c>
      <c r="U174" s="259">
        <v>0</v>
      </c>
      <c r="V174" s="259">
        <v>0</v>
      </c>
      <c r="W174" s="259">
        <v>0</v>
      </c>
      <c r="X174" s="259">
        <v>0</v>
      </c>
      <c r="Y174" s="259">
        <v>0</v>
      </c>
      <c r="Z174" s="259">
        <v>0</v>
      </c>
      <c r="AA174" s="259">
        <v>0</v>
      </c>
      <c r="AB174" s="259">
        <v>0</v>
      </c>
      <c r="AC174" s="259">
        <v>0</v>
      </c>
      <c r="AD174" s="259">
        <v>0</v>
      </c>
      <c r="AE174" s="259">
        <v>0</v>
      </c>
      <c r="AF174" s="259">
        <v>0</v>
      </c>
      <c r="AG174" s="259">
        <v>0</v>
      </c>
      <c r="AH174" s="259">
        <v>0</v>
      </c>
      <c r="AI174" s="259">
        <v>0</v>
      </c>
      <c r="AJ174" s="259">
        <v>0</v>
      </c>
      <c r="AK174" s="259">
        <v>0</v>
      </c>
      <c r="AL174" s="259">
        <v>0</v>
      </c>
      <c r="AM174" s="259">
        <v>0</v>
      </c>
      <c r="AN174" s="259">
        <v>0</v>
      </c>
      <c r="AO174" s="259">
        <v>0</v>
      </c>
      <c r="AP174" s="259">
        <v>0</v>
      </c>
      <c r="AQ174" s="259">
        <v>0</v>
      </c>
      <c r="AR174" s="259">
        <v>0</v>
      </c>
      <c r="AS174" s="259">
        <v>0</v>
      </c>
      <c r="AT174" s="259">
        <v>0</v>
      </c>
      <c r="AU174" s="259">
        <v>0</v>
      </c>
      <c r="AV174" s="259">
        <v>0</v>
      </c>
      <c r="AW174" s="259">
        <v>0</v>
      </c>
      <c r="AX174" s="259">
        <v>255381</v>
      </c>
      <c r="AY174" s="259">
        <v>255381</v>
      </c>
      <c r="AZ174" s="259">
        <v>255381</v>
      </c>
      <c r="BA174" s="259">
        <v>255381</v>
      </c>
      <c r="BB174" s="259">
        <v>3682453</v>
      </c>
      <c r="BC174" s="259">
        <v>3682453</v>
      </c>
      <c r="BD174" s="259">
        <v>3256052</v>
      </c>
      <c r="BE174" s="259">
        <v>3256052</v>
      </c>
      <c r="BF174" s="259">
        <v>8801741</v>
      </c>
    </row>
    <row r="175" spans="1:58" x14ac:dyDescent="0.3">
      <c r="A175" s="265" t="s">
        <v>942</v>
      </c>
      <c r="B175" s="257">
        <v>0</v>
      </c>
      <c r="C175" s="257">
        <v>0</v>
      </c>
      <c r="D175" s="257">
        <v>0</v>
      </c>
      <c r="E175" s="257">
        <v>0</v>
      </c>
      <c r="F175" s="257">
        <v>0</v>
      </c>
      <c r="G175" s="257">
        <v>0</v>
      </c>
      <c r="H175" s="257">
        <v>0</v>
      </c>
      <c r="I175" s="257">
        <v>0</v>
      </c>
      <c r="J175" s="257">
        <v>0</v>
      </c>
      <c r="K175" s="257">
        <v>0</v>
      </c>
      <c r="L175" s="257">
        <v>0</v>
      </c>
      <c r="M175" s="257">
        <v>0</v>
      </c>
      <c r="N175" s="257">
        <v>0</v>
      </c>
      <c r="O175" s="257">
        <v>0</v>
      </c>
      <c r="P175" s="257">
        <v>0</v>
      </c>
      <c r="Q175" s="257">
        <v>0</v>
      </c>
      <c r="R175" s="257">
        <v>0</v>
      </c>
      <c r="S175" s="257">
        <v>0</v>
      </c>
      <c r="T175" s="257">
        <v>0</v>
      </c>
      <c r="U175" s="257">
        <v>0</v>
      </c>
      <c r="V175" s="257">
        <v>0</v>
      </c>
      <c r="W175" s="257">
        <v>0</v>
      </c>
      <c r="X175" s="257">
        <v>0</v>
      </c>
      <c r="Y175" s="257">
        <v>0</v>
      </c>
      <c r="Z175" s="257">
        <v>0</v>
      </c>
      <c r="AA175" s="257">
        <v>0</v>
      </c>
      <c r="AB175" s="257">
        <v>0</v>
      </c>
      <c r="AC175" s="257">
        <v>0</v>
      </c>
      <c r="AD175" s="257">
        <v>0</v>
      </c>
      <c r="AE175" s="257">
        <v>0</v>
      </c>
      <c r="AF175" s="257">
        <v>0</v>
      </c>
      <c r="AG175" s="257">
        <v>0</v>
      </c>
      <c r="AH175" s="257">
        <v>0</v>
      </c>
      <c r="AI175" s="257">
        <v>0</v>
      </c>
      <c r="AJ175" s="257">
        <v>0</v>
      </c>
      <c r="AK175" s="257">
        <v>0</v>
      </c>
      <c r="AL175" s="257">
        <v>0</v>
      </c>
      <c r="AM175" s="257">
        <v>0</v>
      </c>
      <c r="AN175" s="257">
        <v>0</v>
      </c>
      <c r="AO175" s="257">
        <v>0</v>
      </c>
      <c r="AP175" s="257">
        <v>0</v>
      </c>
      <c r="AQ175" s="257">
        <v>0</v>
      </c>
      <c r="AR175" s="257">
        <v>0</v>
      </c>
      <c r="AS175" s="257">
        <v>0</v>
      </c>
      <c r="AT175" s="257">
        <v>0</v>
      </c>
      <c r="AU175" s="257">
        <v>0</v>
      </c>
      <c r="AV175" s="257">
        <v>0</v>
      </c>
      <c r="AW175" s="257">
        <v>0</v>
      </c>
      <c r="AX175" s="257">
        <v>12769</v>
      </c>
      <c r="AY175" s="257">
        <v>12769</v>
      </c>
      <c r="AZ175" s="257">
        <v>12769</v>
      </c>
      <c r="BA175" s="257">
        <v>12769</v>
      </c>
      <c r="BB175" s="257">
        <v>184123</v>
      </c>
      <c r="BC175" s="257">
        <v>12769</v>
      </c>
      <c r="BD175" s="257">
        <v>12769</v>
      </c>
      <c r="BE175" s="257">
        <v>12769</v>
      </c>
      <c r="BF175" s="257">
        <v>443118</v>
      </c>
    </row>
    <row r="176" spans="1:58" x14ac:dyDescent="0.3">
      <c r="A176" s="265" t="s">
        <v>943</v>
      </c>
      <c r="B176" s="257">
        <v>0</v>
      </c>
      <c r="C176" s="257">
        <v>0</v>
      </c>
      <c r="D176" s="257">
        <v>0</v>
      </c>
      <c r="E176" s="257">
        <v>0</v>
      </c>
      <c r="F176" s="257">
        <v>0</v>
      </c>
      <c r="G176" s="257">
        <v>0</v>
      </c>
      <c r="H176" s="257">
        <v>0</v>
      </c>
      <c r="I176" s="257">
        <v>0</v>
      </c>
      <c r="J176" s="257">
        <v>0</v>
      </c>
      <c r="K176" s="257">
        <v>0</v>
      </c>
      <c r="L176" s="257">
        <v>0</v>
      </c>
      <c r="M176" s="257">
        <v>0</v>
      </c>
      <c r="N176" s="257">
        <v>0</v>
      </c>
      <c r="O176" s="257">
        <v>0</v>
      </c>
      <c r="P176" s="257">
        <v>0</v>
      </c>
      <c r="Q176" s="257">
        <v>0</v>
      </c>
      <c r="R176" s="257">
        <v>0</v>
      </c>
      <c r="S176" s="257">
        <v>0</v>
      </c>
      <c r="T176" s="257">
        <v>0</v>
      </c>
      <c r="U176" s="257">
        <v>0</v>
      </c>
      <c r="V176" s="257">
        <v>0</v>
      </c>
      <c r="W176" s="257">
        <v>0</v>
      </c>
      <c r="X176" s="257">
        <v>0</v>
      </c>
      <c r="Y176" s="257">
        <v>0</v>
      </c>
      <c r="Z176" s="257">
        <v>0</v>
      </c>
      <c r="AA176" s="257">
        <v>0</v>
      </c>
      <c r="AB176" s="257">
        <v>0</v>
      </c>
      <c r="AC176" s="257">
        <v>0</v>
      </c>
      <c r="AD176" s="257">
        <v>0</v>
      </c>
      <c r="AE176" s="257">
        <v>0</v>
      </c>
      <c r="AF176" s="257">
        <v>0</v>
      </c>
      <c r="AG176" s="257">
        <v>0</v>
      </c>
      <c r="AH176" s="257">
        <v>0</v>
      </c>
      <c r="AI176" s="257">
        <v>0</v>
      </c>
      <c r="AJ176" s="257">
        <v>0</v>
      </c>
      <c r="AK176" s="257">
        <v>0</v>
      </c>
      <c r="AL176" s="257">
        <v>0</v>
      </c>
      <c r="AM176" s="257">
        <v>0</v>
      </c>
      <c r="AN176" s="257">
        <v>0</v>
      </c>
      <c r="AO176" s="257">
        <v>0</v>
      </c>
      <c r="AP176" s="257">
        <v>0</v>
      </c>
      <c r="AQ176" s="257">
        <v>0</v>
      </c>
      <c r="AR176" s="257">
        <v>0</v>
      </c>
      <c r="AS176" s="257">
        <v>0</v>
      </c>
      <c r="AT176" s="257">
        <v>0</v>
      </c>
      <c r="AU176" s="257">
        <v>0</v>
      </c>
      <c r="AV176" s="257">
        <v>0</v>
      </c>
      <c r="AW176" s="257">
        <v>0</v>
      </c>
      <c r="AX176" s="257">
        <v>0</v>
      </c>
      <c r="AY176" s="257">
        <v>0</v>
      </c>
      <c r="AZ176" s="257">
        <v>0</v>
      </c>
      <c r="BA176" s="257">
        <v>0</v>
      </c>
      <c r="BB176" s="257">
        <v>0</v>
      </c>
      <c r="BC176" s="257">
        <v>181958</v>
      </c>
      <c r="BD176" s="257">
        <v>181958</v>
      </c>
      <c r="BE176" s="257">
        <v>181958</v>
      </c>
      <c r="BF176" s="257">
        <v>0</v>
      </c>
    </row>
    <row r="177" spans="1:58" x14ac:dyDescent="0.3">
      <c r="A177" s="265" t="s">
        <v>944</v>
      </c>
      <c r="B177" s="257">
        <v>0</v>
      </c>
      <c r="C177" s="257">
        <v>0</v>
      </c>
      <c r="D177" s="257">
        <v>0</v>
      </c>
      <c r="E177" s="257">
        <v>0</v>
      </c>
      <c r="F177" s="257">
        <v>0</v>
      </c>
      <c r="G177" s="257">
        <v>0</v>
      </c>
      <c r="H177" s="257">
        <v>0</v>
      </c>
      <c r="I177" s="257">
        <v>0</v>
      </c>
      <c r="J177" s="257">
        <v>0</v>
      </c>
      <c r="K177" s="257">
        <v>0</v>
      </c>
      <c r="L177" s="257">
        <v>0</v>
      </c>
      <c r="M177" s="257">
        <v>0</v>
      </c>
      <c r="N177" s="257">
        <v>0</v>
      </c>
      <c r="O177" s="257">
        <v>0</v>
      </c>
      <c r="P177" s="257">
        <v>0</v>
      </c>
      <c r="Q177" s="257">
        <v>0</v>
      </c>
      <c r="R177" s="257">
        <v>0</v>
      </c>
      <c r="S177" s="257">
        <v>0</v>
      </c>
      <c r="T177" s="257">
        <v>0</v>
      </c>
      <c r="U177" s="257">
        <v>0</v>
      </c>
      <c r="V177" s="257">
        <v>0</v>
      </c>
      <c r="W177" s="257">
        <v>0</v>
      </c>
      <c r="X177" s="257">
        <v>0</v>
      </c>
      <c r="Y177" s="257">
        <v>0</v>
      </c>
      <c r="Z177" s="257">
        <v>0</v>
      </c>
      <c r="AA177" s="257">
        <v>0</v>
      </c>
      <c r="AB177" s="257">
        <v>0</v>
      </c>
      <c r="AC177" s="257">
        <v>0</v>
      </c>
      <c r="AD177" s="257">
        <v>0</v>
      </c>
      <c r="AE177" s="257">
        <v>0</v>
      </c>
      <c r="AF177" s="257">
        <v>0</v>
      </c>
      <c r="AG177" s="257">
        <v>0</v>
      </c>
      <c r="AH177" s="257">
        <v>0</v>
      </c>
      <c r="AI177" s="257">
        <v>0</v>
      </c>
      <c r="AJ177" s="257">
        <v>0</v>
      </c>
      <c r="AK177" s="257">
        <v>0</v>
      </c>
      <c r="AL177" s="257">
        <v>0</v>
      </c>
      <c r="AM177" s="257">
        <v>0</v>
      </c>
      <c r="AN177" s="257">
        <v>0</v>
      </c>
      <c r="AO177" s="257">
        <v>0</v>
      </c>
      <c r="AP177" s="257">
        <v>0</v>
      </c>
      <c r="AQ177" s="257">
        <v>0</v>
      </c>
      <c r="AR177" s="257">
        <v>0</v>
      </c>
      <c r="AS177" s="257">
        <v>0</v>
      </c>
      <c r="AT177" s="257">
        <v>0</v>
      </c>
      <c r="AU177" s="257">
        <v>0</v>
      </c>
      <c r="AV177" s="257">
        <v>0</v>
      </c>
      <c r="AW177" s="257">
        <v>0</v>
      </c>
      <c r="AX177" s="257">
        <v>0</v>
      </c>
      <c r="AY177" s="257">
        <v>0</v>
      </c>
      <c r="AZ177" s="257">
        <v>0</v>
      </c>
      <c r="BA177" s="257">
        <v>0</v>
      </c>
      <c r="BB177" s="257">
        <v>0</v>
      </c>
      <c r="BC177" s="257">
        <v>0</v>
      </c>
      <c r="BD177" s="257">
        <v>0</v>
      </c>
      <c r="BE177" s="257">
        <v>0</v>
      </c>
      <c r="BF177" s="257">
        <v>0</v>
      </c>
    </row>
    <row r="178" spans="1:58" x14ac:dyDescent="0.3">
      <c r="A178" s="265" t="s">
        <v>945</v>
      </c>
      <c r="B178" s="257">
        <v>0</v>
      </c>
      <c r="C178" s="257">
        <v>0</v>
      </c>
      <c r="D178" s="257">
        <v>0</v>
      </c>
      <c r="E178" s="257">
        <v>0</v>
      </c>
      <c r="F178" s="257">
        <v>0</v>
      </c>
      <c r="G178" s="257">
        <v>0</v>
      </c>
      <c r="H178" s="257">
        <v>0</v>
      </c>
      <c r="I178" s="257">
        <v>0</v>
      </c>
      <c r="J178" s="257">
        <v>0</v>
      </c>
      <c r="K178" s="257">
        <v>0</v>
      </c>
      <c r="L178" s="257">
        <v>0</v>
      </c>
      <c r="M178" s="257">
        <v>0</v>
      </c>
      <c r="N178" s="257">
        <v>0</v>
      </c>
      <c r="O178" s="257">
        <v>0</v>
      </c>
      <c r="P178" s="257">
        <v>0</v>
      </c>
      <c r="Q178" s="257">
        <v>0</v>
      </c>
      <c r="R178" s="257">
        <v>0</v>
      </c>
      <c r="S178" s="257">
        <v>0</v>
      </c>
      <c r="T178" s="257">
        <v>0</v>
      </c>
      <c r="U178" s="257">
        <v>0</v>
      </c>
      <c r="V178" s="257">
        <v>0</v>
      </c>
      <c r="W178" s="257">
        <v>0</v>
      </c>
      <c r="X178" s="257">
        <v>0</v>
      </c>
      <c r="Y178" s="257">
        <v>0</v>
      </c>
      <c r="Z178" s="257">
        <v>0</v>
      </c>
      <c r="AA178" s="257">
        <v>0</v>
      </c>
      <c r="AB178" s="257">
        <v>0</v>
      </c>
      <c r="AC178" s="257">
        <v>0</v>
      </c>
      <c r="AD178" s="257">
        <v>0</v>
      </c>
      <c r="AE178" s="257">
        <v>0</v>
      </c>
      <c r="AF178" s="257">
        <v>0</v>
      </c>
      <c r="AG178" s="257">
        <v>0</v>
      </c>
      <c r="AH178" s="257">
        <v>0</v>
      </c>
      <c r="AI178" s="257">
        <v>0</v>
      </c>
      <c r="AJ178" s="257">
        <v>0</v>
      </c>
      <c r="AK178" s="257">
        <v>0</v>
      </c>
      <c r="AL178" s="257">
        <v>0</v>
      </c>
      <c r="AM178" s="257">
        <v>0</v>
      </c>
      <c r="AN178" s="257">
        <v>0</v>
      </c>
      <c r="AO178" s="257">
        <v>0</v>
      </c>
      <c r="AP178" s="257">
        <v>0</v>
      </c>
      <c r="AQ178" s="257">
        <v>0</v>
      </c>
      <c r="AR178" s="257">
        <v>0</v>
      </c>
      <c r="AS178" s="257">
        <v>0</v>
      </c>
      <c r="AT178" s="257">
        <v>0</v>
      </c>
      <c r="AU178" s="257">
        <v>0</v>
      </c>
      <c r="AV178" s="257">
        <v>0</v>
      </c>
      <c r="AW178" s="257">
        <v>0</v>
      </c>
      <c r="AX178" s="257">
        <v>60655</v>
      </c>
      <c r="AY178" s="257">
        <v>60655</v>
      </c>
      <c r="AZ178" s="257">
        <v>60655</v>
      </c>
      <c r="BA178" s="257">
        <v>60655</v>
      </c>
      <c r="BB178" s="257">
        <v>60688</v>
      </c>
      <c r="BC178" s="257">
        <v>60655</v>
      </c>
      <c r="BD178" s="257">
        <v>60655</v>
      </c>
      <c r="BE178" s="257">
        <v>60655</v>
      </c>
      <c r="BF178" s="257">
        <v>120</v>
      </c>
    </row>
    <row r="179" spans="1:58" x14ac:dyDescent="0.3">
      <c r="A179" s="265" t="s">
        <v>946</v>
      </c>
      <c r="B179" s="257">
        <v>0</v>
      </c>
      <c r="C179" s="257">
        <v>0</v>
      </c>
      <c r="D179" s="257">
        <v>0</v>
      </c>
      <c r="E179" s="257">
        <v>0</v>
      </c>
      <c r="F179" s="257">
        <v>0</v>
      </c>
      <c r="G179" s="257">
        <v>0</v>
      </c>
      <c r="H179" s="257">
        <v>0</v>
      </c>
      <c r="I179" s="257">
        <v>0</v>
      </c>
      <c r="J179" s="257">
        <v>0</v>
      </c>
      <c r="K179" s="257">
        <v>0</v>
      </c>
      <c r="L179" s="257">
        <v>0</v>
      </c>
      <c r="M179" s="257">
        <v>0</v>
      </c>
      <c r="N179" s="257">
        <v>0</v>
      </c>
      <c r="O179" s="257">
        <v>0</v>
      </c>
      <c r="P179" s="257">
        <v>0</v>
      </c>
      <c r="Q179" s="257">
        <v>0</v>
      </c>
      <c r="R179" s="257">
        <v>0</v>
      </c>
      <c r="S179" s="257">
        <v>0</v>
      </c>
      <c r="T179" s="257">
        <v>0</v>
      </c>
      <c r="U179" s="257">
        <v>0</v>
      </c>
      <c r="V179" s="257">
        <v>0</v>
      </c>
      <c r="W179" s="257">
        <v>0</v>
      </c>
      <c r="X179" s="257">
        <v>0</v>
      </c>
      <c r="Y179" s="257">
        <v>0</v>
      </c>
      <c r="Z179" s="257">
        <v>0</v>
      </c>
      <c r="AA179" s="257">
        <v>0</v>
      </c>
      <c r="AB179" s="257">
        <v>0</v>
      </c>
      <c r="AC179" s="257">
        <v>0</v>
      </c>
      <c r="AD179" s="257">
        <v>0</v>
      </c>
      <c r="AE179" s="257">
        <v>0</v>
      </c>
      <c r="AF179" s="257">
        <v>0</v>
      </c>
      <c r="AG179" s="257">
        <v>0</v>
      </c>
      <c r="AH179" s="257">
        <v>0</v>
      </c>
      <c r="AI179" s="257">
        <v>0</v>
      </c>
      <c r="AJ179" s="257">
        <v>0</v>
      </c>
      <c r="AK179" s="257">
        <v>0</v>
      </c>
      <c r="AL179" s="257">
        <v>0</v>
      </c>
      <c r="AM179" s="257">
        <v>0</v>
      </c>
      <c r="AN179" s="257">
        <v>0</v>
      </c>
      <c r="AO179" s="257">
        <v>0</v>
      </c>
      <c r="AP179" s="257">
        <v>0</v>
      </c>
      <c r="AQ179" s="257">
        <v>0</v>
      </c>
      <c r="AR179" s="257">
        <v>0</v>
      </c>
      <c r="AS179" s="257">
        <v>0</v>
      </c>
      <c r="AT179" s="257">
        <v>0</v>
      </c>
      <c r="AU179" s="257">
        <v>0</v>
      </c>
      <c r="AV179" s="257">
        <v>0</v>
      </c>
      <c r="AW179" s="257">
        <v>0</v>
      </c>
      <c r="AX179" s="257">
        <v>0</v>
      </c>
      <c r="AY179" s="257">
        <v>0</v>
      </c>
      <c r="AZ179" s="257">
        <v>0</v>
      </c>
      <c r="BA179" s="257">
        <v>0</v>
      </c>
      <c r="BB179" s="257">
        <v>0</v>
      </c>
      <c r="BC179" s="257">
        <v>0</v>
      </c>
      <c r="BD179" s="257">
        <v>0</v>
      </c>
      <c r="BE179" s="257">
        <v>0</v>
      </c>
      <c r="BF179" s="257">
        <v>0</v>
      </c>
    </row>
    <row r="180" spans="1:58" x14ac:dyDescent="0.3">
      <c r="A180" s="265" t="s">
        <v>947</v>
      </c>
      <c r="B180" s="257">
        <v>0</v>
      </c>
      <c r="C180" s="257">
        <v>0</v>
      </c>
      <c r="D180" s="257">
        <v>0</v>
      </c>
      <c r="E180" s="257">
        <v>0</v>
      </c>
      <c r="F180" s="257">
        <v>0</v>
      </c>
      <c r="G180" s="257">
        <v>0</v>
      </c>
      <c r="H180" s="257">
        <v>0</v>
      </c>
      <c r="I180" s="257">
        <v>0</v>
      </c>
      <c r="J180" s="257">
        <v>0</v>
      </c>
      <c r="K180" s="257">
        <v>0</v>
      </c>
      <c r="L180" s="257">
        <v>0</v>
      </c>
      <c r="M180" s="257">
        <v>0</v>
      </c>
      <c r="N180" s="257">
        <v>0</v>
      </c>
      <c r="O180" s="257">
        <v>0</v>
      </c>
      <c r="P180" s="257">
        <v>0</v>
      </c>
      <c r="Q180" s="257">
        <v>0</v>
      </c>
      <c r="R180" s="257">
        <v>0</v>
      </c>
      <c r="S180" s="257">
        <v>0</v>
      </c>
      <c r="T180" s="257">
        <v>0</v>
      </c>
      <c r="U180" s="257">
        <v>0</v>
      </c>
      <c r="V180" s="257">
        <v>0</v>
      </c>
      <c r="W180" s="257">
        <v>0</v>
      </c>
      <c r="X180" s="257">
        <v>0</v>
      </c>
      <c r="Y180" s="257">
        <v>0</v>
      </c>
      <c r="Z180" s="257">
        <v>0</v>
      </c>
      <c r="AA180" s="257">
        <v>0</v>
      </c>
      <c r="AB180" s="257">
        <v>0</v>
      </c>
      <c r="AC180" s="257">
        <v>0</v>
      </c>
      <c r="AD180" s="257">
        <v>0</v>
      </c>
      <c r="AE180" s="257">
        <v>0</v>
      </c>
      <c r="AF180" s="257">
        <v>0</v>
      </c>
      <c r="AG180" s="257">
        <v>0</v>
      </c>
      <c r="AH180" s="257">
        <v>0</v>
      </c>
      <c r="AI180" s="257">
        <v>0</v>
      </c>
      <c r="AJ180" s="257">
        <v>0</v>
      </c>
      <c r="AK180" s="257">
        <v>0</v>
      </c>
      <c r="AL180" s="257">
        <v>0</v>
      </c>
      <c r="AM180" s="257">
        <v>0</v>
      </c>
      <c r="AN180" s="257">
        <v>0</v>
      </c>
      <c r="AO180" s="257">
        <v>0</v>
      </c>
      <c r="AP180" s="257">
        <v>0</v>
      </c>
      <c r="AQ180" s="257">
        <v>0</v>
      </c>
      <c r="AR180" s="257">
        <v>0</v>
      </c>
      <c r="AS180" s="257">
        <v>0</v>
      </c>
      <c r="AT180" s="257">
        <v>0</v>
      </c>
      <c r="AU180" s="257">
        <v>0</v>
      </c>
      <c r="AV180" s="257">
        <v>0</v>
      </c>
      <c r="AW180" s="257">
        <v>0</v>
      </c>
      <c r="AX180" s="257">
        <v>0</v>
      </c>
      <c r="AY180" s="257">
        <v>0</v>
      </c>
      <c r="AZ180" s="257">
        <v>0</v>
      </c>
      <c r="BA180" s="257">
        <v>0</v>
      </c>
      <c r="BB180" s="257">
        <v>0</v>
      </c>
      <c r="BC180" s="257">
        <v>0</v>
      </c>
      <c r="BD180" s="257">
        <v>0</v>
      </c>
      <c r="BE180" s="257">
        <v>0</v>
      </c>
      <c r="BF180" s="257">
        <v>0</v>
      </c>
    </row>
    <row r="181" spans="1:58" x14ac:dyDescent="0.3">
      <c r="A181" s="265" t="s">
        <v>948</v>
      </c>
      <c r="B181" s="256" t="s">
        <v>792</v>
      </c>
      <c r="C181" s="256" t="s">
        <v>792</v>
      </c>
      <c r="D181" s="257">
        <v>0</v>
      </c>
      <c r="E181" s="257">
        <v>0</v>
      </c>
      <c r="F181" s="257">
        <v>0</v>
      </c>
      <c r="G181" s="257">
        <v>0</v>
      </c>
      <c r="H181" s="257">
        <v>0</v>
      </c>
      <c r="I181" s="257">
        <v>0</v>
      </c>
      <c r="J181" s="257">
        <v>0</v>
      </c>
      <c r="K181" s="257">
        <v>0</v>
      </c>
      <c r="L181" s="257">
        <v>0</v>
      </c>
      <c r="M181" s="257">
        <v>0</v>
      </c>
      <c r="N181" s="257">
        <v>0</v>
      </c>
      <c r="O181" s="257">
        <v>0</v>
      </c>
      <c r="P181" s="257">
        <v>0</v>
      </c>
      <c r="Q181" s="257">
        <v>0</v>
      </c>
      <c r="R181" s="257">
        <v>0</v>
      </c>
      <c r="S181" s="257">
        <v>0</v>
      </c>
      <c r="T181" s="257">
        <v>0</v>
      </c>
      <c r="U181" s="257">
        <v>0</v>
      </c>
      <c r="V181" s="257">
        <v>0</v>
      </c>
      <c r="W181" s="257">
        <v>0</v>
      </c>
      <c r="X181" s="257">
        <v>0</v>
      </c>
      <c r="Y181" s="257">
        <v>0</v>
      </c>
      <c r="Z181" s="257">
        <v>0</v>
      </c>
      <c r="AA181" s="257">
        <v>0</v>
      </c>
      <c r="AB181" s="257">
        <v>0</v>
      </c>
      <c r="AC181" s="257">
        <v>0</v>
      </c>
      <c r="AD181" s="257">
        <v>0</v>
      </c>
      <c r="AE181" s="257">
        <v>0</v>
      </c>
      <c r="AF181" s="257">
        <v>0</v>
      </c>
      <c r="AG181" s="257">
        <v>0</v>
      </c>
      <c r="AH181" s="257">
        <v>0</v>
      </c>
      <c r="AI181" s="257">
        <v>0</v>
      </c>
      <c r="AJ181" s="257">
        <v>0</v>
      </c>
      <c r="AK181" s="257">
        <v>0</v>
      </c>
      <c r="AL181" s="257">
        <v>0</v>
      </c>
      <c r="AM181" s="257">
        <v>0</v>
      </c>
      <c r="AN181" s="257">
        <v>0</v>
      </c>
      <c r="AO181" s="257">
        <v>0</v>
      </c>
      <c r="AP181" s="257">
        <v>0</v>
      </c>
      <c r="AQ181" s="257">
        <v>0</v>
      </c>
      <c r="AR181" s="257">
        <v>0</v>
      </c>
      <c r="AS181" s="257">
        <v>0</v>
      </c>
      <c r="AT181" s="257">
        <v>0</v>
      </c>
      <c r="AU181" s="257">
        <v>0</v>
      </c>
      <c r="AV181" s="257">
        <v>0</v>
      </c>
      <c r="AW181" s="257">
        <v>0</v>
      </c>
      <c r="AX181" s="257">
        <v>0</v>
      </c>
      <c r="AY181" s="257">
        <v>0</v>
      </c>
      <c r="AZ181" s="257">
        <v>0</v>
      </c>
      <c r="BA181" s="257">
        <v>0</v>
      </c>
      <c r="BB181" s="257">
        <v>0</v>
      </c>
      <c r="BC181" s="257">
        <v>0</v>
      </c>
      <c r="BD181" s="257">
        <v>0</v>
      </c>
      <c r="BE181" s="257">
        <v>0</v>
      </c>
      <c r="BF181" s="257">
        <v>0</v>
      </c>
    </row>
    <row r="182" spans="1:58" x14ac:dyDescent="0.3">
      <c r="A182" s="265" t="s">
        <v>949</v>
      </c>
      <c r="B182" s="256" t="s">
        <v>792</v>
      </c>
      <c r="C182" s="256" t="s">
        <v>792</v>
      </c>
      <c r="D182" s="257">
        <v>0</v>
      </c>
      <c r="E182" s="257">
        <v>0</v>
      </c>
      <c r="F182" s="257">
        <v>0</v>
      </c>
      <c r="G182" s="257">
        <v>0</v>
      </c>
      <c r="H182" s="257">
        <v>0</v>
      </c>
      <c r="I182" s="257">
        <v>0</v>
      </c>
      <c r="J182" s="257">
        <v>0</v>
      </c>
      <c r="K182" s="257">
        <v>0</v>
      </c>
      <c r="L182" s="257">
        <v>0</v>
      </c>
      <c r="M182" s="257">
        <v>0</v>
      </c>
      <c r="N182" s="257">
        <v>0</v>
      </c>
      <c r="O182" s="257">
        <v>0</v>
      </c>
      <c r="P182" s="257">
        <v>0</v>
      </c>
      <c r="Q182" s="257">
        <v>0</v>
      </c>
      <c r="R182" s="257">
        <v>0</v>
      </c>
      <c r="S182" s="257">
        <v>0</v>
      </c>
      <c r="T182" s="257">
        <v>0</v>
      </c>
      <c r="U182" s="257">
        <v>0</v>
      </c>
      <c r="V182" s="257">
        <v>0</v>
      </c>
      <c r="W182" s="257">
        <v>0</v>
      </c>
      <c r="X182" s="257">
        <v>0</v>
      </c>
      <c r="Y182" s="257">
        <v>0</v>
      </c>
      <c r="Z182" s="257">
        <v>0</v>
      </c>
      <c r="AA182" s="257">
        <v>0</v>
      </c>
      <c r="AB182" s="257">
        <v>0</v>
      </c>
      <c r="AC182" s="257">
        <v>0</v>
      </c>
      <c r="AD182" s="257">
        <v>0</v>
      </c>
      <c r="AE182" s="257">
        <v>0</v>
      </c>
      <c r="AF182" s="257">
        <v>0</v>
      </c>
      <c r="AG182" s="257">
        <v>0</v>
      </c>
      <c r="AH182" s="257">
        <v>0</v>
      </c>
      <c r="AI182" s="257">
        <v>0</v>
      </c>
      <c r="AJ182" s="257">
        <v>0</v>
      </c>
      <c r="AK182" s="257">
        <v>0</v>
      </c>
      <c r="AL182" s="257">
        <v>0</v>
      </c>
      <c r="AM182" s="257">
        <v>0</v>
      </c>
      <c r="AN182" s="257">
        <v>0</v>
      </c>
      <c r="AO182" s="257">
        <v>0</v>
      </c>
      <c r="AP182" s="257">
        <v>0</v>
      </c>
      <c r="AQ182" s="257">
        <v>0</v>
      </c>
      <c r="AR182" s="257">
        <v>0</v>
      </c>
      <c r="AS182" s="257">
        <v>0</v>
      </c>
      <c r="AT182" s="257">
        <v>0</v>
      </c>
      <c r="AU182" s="257">
        <v>0</v>
      </c>
      <c r="AV182" s="257">
        <v>0</v>
      </c>
      <c r="AW182" s="257">
        <v>0</v>
      </c>
      <c r="AX182" s="257">
        <v>0</v>
      </c>
      <c r="AY182" s="257">
        <v>0</v>
      </c>
      <c r="AZ182" s="257">
        <v>0</v>
      </c>
      <c r="BA182" s="257">
        <v>0</v>
      </c>
      <c r="BB182" s="257">
        <v>0</v>
      </c>
      <c r="BC182" s="257">
        <v>0</v>
      </c>
      <c r="BD182" s="257">
        <v>0</v>
      </c>
      <c r="BE182" s="257">
        <v>0</v>
      </c>
      <c r="BF182" s="257">
        <v>0</v>
      </c>
    </row>
    <row r="183" spans="1:58" x14ac:dyDescent="0.3">
      <c r="A183" s="265" t="s">
        <v>950</v>
      </c>
      <c r="B183" s="256" t="s">
        <v>792</v>
      </c>
      <c r="C183" s="256" t="s">
        <v>792</v>
      </c>
      <c r="D183" s="257">
        <v>0</v>
      </c>
      <c r="E183" s="257">
        <v>0</v>
      </c>
      <c r="F183" s="257">
        <v>0</v>
      </c>
      <c r="G183" s="257">
        <v>0</v>
      </c>
      <c r="H183" s="257">
        <v>0</v>
      </c>
      <c r="I183" s="257">
        <v>0</v>
      </c>
      <c r="J183" s="257">
        <v>0</v>
      </c>
      <c r="K183" s="257">
        <v>0</v>
      </c>
      <c r="L183" s="257">
        <v>0</v>
      </c>
      <c r="M183" s="257">
        <v>0</v>
      </c>
      <c r="N183" s="257">
        <v>0</v>
      </c>
      <c r="O183" s="257">
        <v>0</v>
      </c>
      <c r="P183" s="257">
        <v>0</v>
      </c>
      <c r="Q183" s="257">
        <v>0</v>
      </c>
      <c r="R183" s="257">
        <v>0</v>
      </c>
      <c r="S183" s="257">
        <v>0</v>
      </c>
      <c r="T183" s="257">
        <v>0</v>
      </c>
      <c r="U183" s="257">
        <v>0</v>
      </c>
      <c r="V183" s="257">
        <v>0</v>
      </c>
      <c r="W183" s="257">
        <v>0</v>
      </c>
      <c r="X183" s="257">
        <v>0</v>
      </c>
      <c r="Y183" s="257">
        <v>0</v>
      </c>
      <c r="Z183" s="257">
        <v>0</v>
      </c>
      <c r="AA183" s="257">
        <v>0</v>
      </c>
      <c r="AB183" s="257">
        <v>0</v>
      </c>
      <c r="AC183" s="257">
        <v>0</v>
      </c>
      <c r="AD183" s="257">
        <v>0</v>
      </c>
      <c r="AE183" s="257">
        <v>0</v>
      </c>
      <c r="AF183" s="257">
        <v>0</v>
      </c>
      <c r="AG183" s="257">
        <v>0</v>
      </c>
      <c r="AH183" s="257">
        <v>0</v>
      </c>
      <c r="AI183" s="257">
        <v>0</v>
      </c>
      <c r="AJ183" s="257">
        <v>0</v>
      </c>
      <c r="AK183" s="257">
        <v>0</v>
      </c>
      <c r="AL183" s="257">
        <v>0</v>
      </c>
      <c r="AM183" s="257">
        <v>0</v>
      </c>
      <c r="AN183" s="257">
        <v>0</v>
      </c>
      <c r="AO183" s="257">
        <v>0</v>
      </c>
      <c r="AP183" s="257">
        <v>0</v>
      </c>
      <c r="AQ183" s="257">
        <v>0</v>
      </c>
      <c r="AR183" s="257">
        <v>0</v>
      </c>
      <c r="AS183" s="257">
        <v>0</v>
      </c>
      <c r="AT183" s="257">
        <v>0</v>
      </c>
      <c r="AU183" s="257">
        <v>0</v>
      </c>
      <c r="AV183" s="257">
        <v>0</v>
      </c>
      <c r="AW183" s="257">
        <v>0</v>
      </c>
      <c r="AX183" s="257">
        <v>0</v>
      </c>
      <c r="AY183" s="257">
        <v>0</v>
      </c>
      <c r="AZ183" s="257">
        <v>0</v>
      </c>
      <c r="BA183" s="257">
        <v>0</v>
      </c>
      <c r="BB183" s="257">
        <v>0</v>
      </c>
      <c r="BC183" s="257">
        <v>0</v>
      </c>
      <c r="BD183" s="257">
        <v>-426401</v>
      </c>
      <c r="BE183" s="257">
        <v>-426401</v>
      </c>
      <c r="BF183" s="257">
        <v>0</v>
      </c>
    </row>
    <row r="184" spans="1:58" x14ac:dyDescent="0.3">
      <c r="A184" s="265" t="s">
        <v>798</v>
      </c>
      <c r="B184" s="256" t="s">
        <v>792</v>
      </c>
      <c r="C184" s="256" t="s">
        <v>792</v>
      </c>
      <c r="D184" s="257">
        <v>0</v>
      </c>
      <c r="E184" s="257">
        <v>0</v>
      </c>
      <c r="F184" s="257">
        <v>0</v>
      </c>
      <c r="G184" s="257">
        <v>0</v>
      </c>
      <c r="H184" s="257">
        <v>0</v>
      </c>
      <c r="I184" s="257">
        <v>0</v>
      </c>
      <c r="J184" s="257">
        <v>0</v>
      </c>
      <c r="K184" s="257">
        <v>0</v>
      </c>
      <c r="L184" s="257">
        <v>0</v>
      </c>
      <c r="M184" s="257">
        <v>0</v>
      </c>
      <c r="N184" s="257">
        <v>0</v>
      </c>
      <c r="O184" s="257">
        <v>0</v>
      </c>
      <c r="P184" s="257">
        <v>0</v>
      </c>
      <c r="Q184" s="257">
        <v>0</v>
      </c>
      <c r="R184" s="257">
        <v>0</v>
      </c>
      <c r="S184" s="257">
        <v>0</v>
      </c>
      <c r="T184" s="257">
        <v>0</v>
      </c>
      <c r="U184" s="257">
        <v>0</v>
      </c>
      <c r="V184" s="257">
        <v>0</v>
      </c>
      <c r="W184" s="257">
        <v>0</v>
      </c>
      <c r="X184" s="257">
        <v>0</v>
      </c>
      <c r="Y184" s="257">
        <v>0</v>
      </c>
      <c r="Z184" s="257">
        <v>0</v>
      </c>
      <c r="AA184" s="257">
        <v>0</v>
      </c>
      <c r="AB184" s="257">
        <v>0</v>
      </c>
      <c r="AC184" s="257">
        <v>0</v>
      </c>
      <c r="AD184" s="257">
        <v>0</v>
      </c>
      <c r="AE184" s="257">
        <v>0</v>
      </c>
      <c r="AF184" s="257">
        <v>0</v>
      </c>
      <c r="AG184" s="257">
        <v>0</v>
      </c>
      <c r="AH184" s="257">
        <v>0</v>
      </c>
      <c r="AI184" s="257">
        <v>0</v>
      </c>
      <c r="AJ184" s="257">
        <v>0</v>
      </c>
      <c r="AK184" s="257">
        <v>0</v>
      </c>
      <c r="AL184" s="257">
        <v>0</v>
      </c>
      <c r="AM184" s="257">
        <v>0</v>
      </c>
      <c r="AN184" s="257">
        <v>0</v>
      </c>
      <c r="AO184" s="257">
        <v>0</v>
      </c>
      <c r="AP184" s="257">
        <v>0</v>
      </c>
      <c r="AQ184" s="257">
        <v>0</v>
      </c>
      <c r="AR184" s="257">
        <v>0</v>
      </c>
      <c r="AS184" s="257">
        <v>0</v>
      </c>
      <c r="AT184" s="257">
        <v>0</v>
      </c>
      <c r="AU184" s="257">
        <v>0</v>
      </c>
      <c r="AV184" s="257">
        <v>0</v>
      </c>
      <c r="AW184" s="257">
        <v>0</v>
      </c>
      <c r="AX184" s="257">
        <v>181957</v>
      </c>
      <c r="AY184" s="257">
        <v>181957</v>
      </c>
      <c r="AZ184" s="257">
        <v>181957</v>
      </c>
      <c r="BA184" s="257">
        <v>181957</v>
      </c>
      <c r="BB184" s="257">
        <v>3437642</v>
      </c>
      <c r="BC184" s="257">
        <v>3427071</v>
      </c>
      <c r="BD184" s="257">
        <v>3427071</v>
      </c>
      <c r="BE184" s="257">
        <v>3427071</v>
      </c>
      <c r="BF184" s="257">
        <v>8358503</v>
      </c>
    </row>
    <row r="185" spans="1:58" x14ac:dyDescent="0.3">
      <c r="A185" s="263" t="s">
        <v>951</v>
      </c>
      <c r="B185" s="259">
        <v>-12635</v>
      </c>
      <c r="C185" s="259">
        <v>-31974</v>
      </c>
      <c r="D185" s="259">
        <v>-51195</v>
      </c>
      <c r="E185" s="259">
        <v>-82231</v>
      </c>
      <c r="F185" s="259">
        <v>-155005</v>
      </c>
      <c r="G185" s="259">
        <v>-168857</v>
      </c>
      <c r="H185" s="259">
        <v>-222026</v>
      </c>
      <c r="I185" s="259">
        <v>-323352</v>
      </c>
      <c r="J185" s="259">
        <v>-459040</v>
      </c>
      <c r="K185" s="259">
        <v>-405755</v>
      </c>
      <c r="L185" s="259">
        <v>-456358</v>
      </c>
      <c r="M185" s="259">
        <v>-596559</v>
      </c>
      <c r="N185" s="259">
        <v>-736606</v>
      </c>
      <c r="O185" s="259">
        <v>-835787</v>
      </c>
      <c r="P185" s="259">
        <v>-1381845</v>
      </c>
      <c r="Q185" s="259">
        <v>-2106089</v>
      </c>
      <c r="R185" s="259">
        <v>-2974476</v>
      </c>
      <c r="S185" s="259">
        <v>-2972777</v>
      </c>
      <c r="T185" s="259">
        <v>-2963034</v>
      </c>
      <c r="U185" s="259">
        <v>-2953498</v>
      </c>
      <c r="V185" s="259">
        <v>-3977549</v>
      </c>
      <c r="W185" s="259">
        <v>-4031088</v>
      </c>
      <c r="X185" s="259">
        <v>-3020446</v>
      </c>
      <c r="Y185" s="259">
        <v>-3020411</v>
      </c>
      <c r="Z185" s="259">
        <v>-2840251</v>
      </c>
      <c r="AA185" s="259">
        <v>-2905637</v>
      </c>
      <c r="AB185" s="259">
        <v>-2956659</v>
      </c>
      <c r="AC185" s="259">
        <v>-2885189</v>
      </c>
      <c r="AD185" s="259">
        <v>-2598628</v>
      </c>
      <c r="AE185" s="259">
        <v>-2594610</v>
      </c>
      <c r="AF185" s="259">
        <v>-2547504</v>
      </c>
      <c r="AG185" s="259">
        <v>-2531122</v>
      </c>
      <c r="AH185" s="259">
        <v>-2579073</v>
      </c>
      <c r="AI185" s="259">
        <v>-2545083</v>
      </c>
      <c r="AJ185" s="259">
        <v>-2474524</v>
      </c>
      <c r="AK185" s="259">
        <v>-2403065</v>
      </c>
      <c r="AL185" s="259">
        <v>-2342902</v>
      </c>
      <c r="AM185" s="259">
        <v>-2396581</v>
      </c>
      <c r="AN185" s="259">
        <v>-2330919</v>
      </c>
      <c r="AO185" s="259">
        <v>-2324981</v>
      </c>
      <c r="AP185" s="259">
        <v>-1530431</v>
      </c>
      <c r="AQ185" s="259">
        <v>-1591892</v>
      </c>
      <c r="AR185" s="259">
        <v>-1691694</v>
      </c>
      <c r="AS185" s="259">
        <v>-1802292</v>
      </c>
      <c r="AT185" s="259">
        <v>-1077665</v>
      </c>
      <c r="AU185" s="259">
        <v>-1143456</v>
      </c>
      <c r="AV185" s="259">
        <v>-722554</v>
      </c>
      <c r="AW185" s="259">
        <v>-625450</v>
      </c>
      <c r="AX185" s="259">
        <v>0</v>
      </c>
      <c r="AY185" s="259">
        <v>1068970</v>
      </c>
      <c r="AZ185" s="259">
        <v>1708050</v>
      </c>
      <c r="BA185" s="259">
        <v>2500364</v>
      </c>
      <c r="BB185" s="259">
        <v>0</v>
      </c>
      <c r="BC185" s="259">
        <v>1162065</v>
      </c>
      <c r="BD185" s="259">
        <v>2003034</v>
      </c>
      <c r="BE185" s="259">
        <v>3631858</v>
      </c>
      <c r="BF185" s="259">
        <v>0</v>
      </c>
    </row>
    <row r="186" spans="1:58" x14ac:dyDescent="0.3">
      <c r="A186" s="263" t="s">
        <v>952</v>
      </c>
      <c r="B186" s="264" t="s">
        <v>792</v>
      </c>
      <c r="C186" s="264" t="s">
        <v>792</v>
      </c>
      <c r="D186" s="264" t="s">
        <v>792</v>
      </c>
      <c r="E186" s="264" t="s">
        <v>792</v>
      </c>
      <c r="F186" s="259">
        <v>49925</v>
      </c>
      <c r="G186" s="259">
        <v>43319</v>
      </c>
      <c r="H186" s="259">
        <v>38504</v>
      </c>
      <c r="I186" s="259">
        <v>87577</v>
      </c>
      <c r="J186" s="259">
        <v>104310</v>
      </c>
      <c r="K186" s="259">
        <v>86806</v>
      </c>
      <c r="L186" s="259">
        <v>67941</v>
      </c>
      <c r="M186" s="259">
        <v>85987</v>
      </c>
      <c r="N186" s="259">
        <v>161939</v>
      </c>
      <c r="O186" s="259">
        <v>174304</v>
      </c>
      <c r="P186" s="259">
        <v>374812</v>
      </c>
      <c r="Q186" s="259">
        <v>232595</v>
      </c>
      <c r="R186" s="259">
        <v>190955</v>
      </c>
      <c r="S186" s="259">
        <v>204756</v>
      </c>
      <c r="T186" s="259">
        <v>195772</v>
      </c>
      <c r="U186" s="259">
        <v>230564</v>
      </c>
      <c r="V186" s="259">
        <v>361162</v>
      </c>
      <c r="W186" s="259">
        <v>420536</v>
      </c>
      <c r="X186" s="259">
        <v>315406</v>
      </c>
      <c r="Y186" s="259">
        <v>412309</v>
      </c>
      <c r="Z186" s="259">
        <v>0</v>
      </c>
      <c r="AA186" s="259">
        <v>11490</v>
      </c>
      <c r="AB186" s="259">
        <v>19115</v>
      </c>
      <c r="AC186" s="259">
        <v>19103</v>
      </c>
      <c r="AD186" s="259">
        <v>4985</v>
      </c>
      <c r="AE186" s="259">
        <v>80421</v>
      </c>
      <c r="AF186" s="259">
        <v>54858</v>
      </c>
      <c r="AG186" s="259">
        <v>96222</v>
      </c>
      <c r="AH186" s="259">
        <v>26698</v>
      </c>
      <c r="AI186" s="259">
        <v>15141</v>
      </c>
      <c r="AJ186" s="259">
        <v>-2838</v>
      </c>
      <c r="AK186" s="259">
        <v>-64408</v>
      </c>
      <c r="AL186" s="259">
        <v>-75856</v>
      </c>
      <c r="AM186" s="259">
        <v>-57735</v>
      </c>
      <c r="AN186" s="259">
        <v>-71873</v>
      </c>
      <c r="AO186" s="259">
        <v>-63275</v>
      </c>
      <c r="AP186" s="259">
        <v>0</v>
      </c>
      <c r="AQ186" s="259">
        <v>0</v>
      </c>
      <c r="AR186" s="259">
        <v>0</v>
      </c>
      <c r="AS186" s="259">
        <v>0</v>
      </c>
      <c r="AT186" s="259">
        <v>0</v>
      </c>
      <c r="AU186" s="259">
        <v>0</v>
      </c>
      <c r="AV186" s="259">
        <v>0</v>
      </c>
      <c r="AW186" s="259">
        <v>0</v>
      </c>
      <c r="AX186" s="259">
        <v>0</v>
      </c>
      <c r="AY186" s="259">
        <v>0</v>
      </c>
      <c r="AZ186" s="259">
        <v>0</v>
      </c>
      <c r="BA186" s="259">
        <v>-39329</v>
      </c>
      <c r="BB186" s="259">
        <v>-89310</v>
      </c>
      <c r="BC186" s="259">
        <v>-49500</v>
      </c>
      <c r="BD186" s="259">
        <v>101088</v>
      </c>
      <c r="BE186" s="259">
        <v>92221</v>
      </c>
      <c r="BF186" s="259">
        <v>80284</v>
      </c>
    </row>
    <row r="187" spans="1:58" x14ac:dyDescent="0.3">
      <c r="A187" s="263" t="s">
        <v>953</v>
      </c>
      <c r="B187" s="264" t="s">
        <v>792</v>
      </c>
      <c r="C187" s="264" t="s">
        <v>792</v>
      </c>
      <c r="D187" s="264" t="s">
        <v>792</v>
      </c>
      <c r="E187" s="264" t="s">
        <v>792</v>
      </c>
      <c r="F187" s="259">
        <v>0</v>
      </c>
      <c r="G187" s="259">
        <v>0</v>
      </c>
      <c r="H187" s="259">
        <v>0</v>
      </c>
      <c r="I187" s="259">
        <v>0</v>
      </c>
      <c r="J187" s="259">
        <v>0</v>
      </c>
      <c r="K187" s="259">
        <v>0</v>
      </c>
      <c r="L187" s="259">
        <v>0</v>
      </c>
      <c r="M187" s="259">
        <v>0</v>
      </c>
      <c r="N187" s="259">
        <v>0</v>
      </c>
      <c r="O187" s="259">
        <v>0</v>
      </c>
      <c r="P187" s="259">
        <v>0</v>
      </c>
      <c r="Q187" s="259">
        <v>0</v>
      </c>
      <c r="R187" s="259">
        <v>0</v>
      </c>
      <c r="S187" s="259">
        <v>0</v>
      </c>
      <c r="T187" s="259">
        <v>0</v>
      </c>
      <c r="U187" s="259">
        <v>0</v>
      </c>
      <c r="V187" s="259">
        <v>0</v>
      </c>
      <c r="W187" s="259">
        <v>0</v>
      </c>
      <c r="X187" s="259">
        <v>0</v>
      </c>
      <c r="Y187" s="259">
        <v>0</v>
      </c>
      <c r="Z187" s="259">
        <v>387451</v>
      </c>
      <c r="AA187" s="259">
        <v>362228</v>
      </c>
      <c r="AB187" s="259">
        <v>345134</v>
      </c>
      <c r="AC187" s="259">
        <v>346702</v>
      </c>
      <c r="AD187" s="259">
        <v>61704</v>
      </c>
      <c r="AE187" s="259">
        <v>57083</v>
      </c>
      <c r="AF187" s="259">
        <v>64635</v>
      </c>
      <c r="AG187" s="259">
        <v>58656</v>
      </c>
      <c r="AH187" s="259">
        <v>65102</v>
      </c>
      <c r="AI187" s="259">
        <v>64951</v>
      </c>
      <c r="AJ187" s="259">
        <v>96185</v>
      </c>
      <c r="AK187" s="259">
        <v>103494</v>
      </c>
      <c r="AL187" s="259">
        <v>94057</v>
      </c>
      <c r="AM187" s="259">
        <v>111627</v>
      </c>
      <c r="AN187" s="259">
        <v>100702</v>
      </c>
      <c r="AO187" s="259">
        <v>196439</v>
      </c>
      <c r="AP187" s="259">
        <v>150335</v>
      </c>
      <c r="AQ187" s="259">
        <v>597260</v>
      </c>
      <c r="AR187" s="259">
        <v>713624</v>
      </c>
      <c r="AS187" s="259">
        <v>783746</v>
      </c>
      <c r="AT187" s="259">
        <v>579820</v>
      </c>
      <c r="AU187" s="259">
        <v>851426</v>
      </c>
      <c r="AV187" s="259">
        <v>518373</v>
      </c>
      <c r="AW187" s="259">
        <v>669847</v>
      </c>
      <c r="AX187" s="259">
        <v>712338</v>
      </c>
      <c r="AY187" s="259">
        <v>-275672</v>
      </c>
      <c r="AZ187" s="259">
        <v>517614</v>
      </c>
      <c r="BA187" s="259">
        <v>820166</v>
      </c>
      <c r="BB187" s="259">
        <v>601773</v>
      </c>
      <c r="BC187" s="259">
        <v>281265</v>
      </c>
      <c r="BD187" s="259">
        <v>-237675</v>
      </c>
      <c r="BE187" s="259">
        <v>272333</v>
      </c>
      <c r="BF187" s="259">
        <v>-184660</v>
      </c>
    </row>
    <row r="188" spans="1:58" x14ac:dyDescent="0.3">
      <c r="A188" s="263" t="s">
        <v>954</v>
      </c>
      <c r="B188" s="264" t="s">
        <v>792</v>
      </c>
      <c r="C188" s="264" t="s">
        <v>792</v>
      </c>
      <c r="D188" s="264" t="s">
        <v>792</v>
      </c>
      <c r="E188" s="264" t="s">
        <v>792</v>
      </c>
      <c r="F188" s="259">
        <v>0</v>
      </c>
      <c r="G188" s="259">
        <v>0</v>
      </c>
      <c r="H188" s="259">
        <v>0</v>
      </c>
      <c r="I188" s="259">
        <v>0</v>
      </c>
      <c r="J188" s="259">
        <v>0</v>
      </c>
      <c r="K188" s="259">
        <v>0</v>
      </c>
      <c r="L188" s="259">
        <v>0</v>
      </c>
      <c r="M188" s="259">
        <v>0</v>
      </c>
      <c r="N188" s="259">
        <v>0</v>
      </c>
      <c r="O188" s="259">
        <v>0</v>
      </c>
      <c r="P188" s="259">
        <v>0</v>
      </c>
      <c r="Q188" s="259">
        <v>0</v>
      </c>
      <c r="R188" s="259">
        <v>0</v>
      </c>
      <c r="S188" s="259">
        <v>0</v>
      </c>
      <c r="T188" s="259">
        <v>0</v>
      </c>
      <c r="U188" s="259">
        <v>0</v>
      </c>
      <c r="V188" s="259">
        <v>0</v>
      </c>
      <c r="W188" s="259">
        <v>0</v>
      </c>
      <c r="X188" s="259">
        <v>0</v>
      </c>
      <c r="Y188" s="259">
        <v>0</v>
      </c>
      <c r="Z188" s="259">
        <v>0</v>
      </c>
      <c r="AA188" s="259">
        <v>0</v>
      </c>
      <c r="AB188" s="259">
        <v>0</v>
      </c>
      <c r="AC188" s="259">
        <v>0</v>
      </c>
      <c r="AD188" s="259">
        <v>0</v>
      </c>
      <c r="AE188" s="259">
        <v>0</v>
      </c>
      <c r="AF188" s="259">
        <v>0</v>
      </c>
      <c r="AG188" s="259">
        <v>0</v>
      </c>
      <c r="AH188" s="259">
        <v>0</v>
      </c>
      <c r="AI188" s="259">
        <v>0</v>
      </c>
      <c r="AJ188" s="259">
        <v>0</v>
      </c>
      <c r="AK188" s="259">
        <v>0</v>
      </c>
      <c r="AL188" s="259">
        <v>0</v>
      </c>
      <c r="AM188" s="259">
        <v>0</v>
      </c>
      <c r="AN188" s="259">
        <v>0</v>
      </c>
      <c r="AO188" s="259">
        <v>0</v>
      </c>
      <c r="AP188" s="259">
        <v>0</v>
      </c>
      <c r="AQ188" s="259">
        <v>0</v>
      </c>
      <c r="AR188" s="259">
        <v>0</v>
      </c>
      <c r="AS188" s="259">
        <v>0</v>
      </c>
      <c r="AT188" s="259">
        <v>0</v>
      </c>
      <c r="AU188" s="259">
        <v>0</v>
      </c>
      <c r="AV188" s="259">
        <v>0</v>
      </c>
      <c r="AW188" s="259">
        <v>0</v>
      </c>
      <c r="AX188" s="259">
        <v>0</v>
      </c>
      <c r="AY188" s="259">
        <v>0</v>
      </c>
      <c r="AZ188" s="259">
        <v>0</v>
      </c>
      <c r="BA188" s="259">
        <v>0</v>
      </c>
      <c r="BB188" s="259">
        <v>0</v>
      </c>
      <c r="BC188" s="259">
        <v>0</v>
      </c>
      <c r="BD188" s="259">
        <v>0</v>
      </c>
      <c r="BE188" s="259">
        <v>0</v>
      </c>
      <c r="BF188" s="259">
        <v>0</v>
      </c>
    </row>
    <row r="189" spans="1:58" x14ac:dyDescent="0.3">
      <c r="A189" s="255"/>
      <c r="B189" s="256"/>
      <c r="C189" s="256"/>
      <c r="D189" s="256"/>
      <c r="E189" s="256"/>
      <c r="F189" s="256"/>
      <c r="G189" s="256"/>
      <c r="H189" s="256"/>
      <c r="I189" s="256"/>
      <c r="J189" s="256"/>
      <c r="K189" s="256"/>
      <c r="L189" s="256"/>
      <c r="M189" s="256"/>
      <c r="N189" s="256"/>
      <c r="O189" s="256"/>
      <c r="P189" s="256"/>
      <c r="Q189" s="256"/>
      <c r="R189" s="256"/>
      <c r="S189" s="256"/>
      <c r="T189" s="256"/>
      <c r="U189" s="256"/>
      <c r="V189" s="256"/>
      <c r="W189" s="256"/>
      <c r="X189" s="256"/>
      <c r="Y189" s="256"/>
      <c r="Z189" s="256"/>
      <c r="AA189" s="256"/>
      <c r="AB189" s="256"/>
      <c r="AC189" s="256"/>
      <c r="AD189" s="256"/>
      <c r="AE189" s="256"/>
      <c r="AF189" s="256"/>
      <c r="AG189" s="256"/>
      <c r="AH189" s="256"/>
      <c r="AI189" s="256"/>
      <c r="AJ189" s="256"/>
      <c r="AK189" s="256"/>
      <c r="AL189" s="256"/>
      <c r="AM189" s="256"/>
      <c r="AN189" s="256"/>
      <c r="AO189" s="256"/>
      <c r="AP189" s="256"/>
      <c r="AQ189" s="256"/>
      <c r="AR189" s="256"/>
      <c r="AS189" s="256"/>
      <c r="AT189" s="256"/>
      <c r="AU189" s="256"/>
      <c r="AV189" s="256"/>
      <c r="AW189" s="256"/>
      <c r="AX189" s="256"/>
      <c r="AY189" s="256"/>
      <c r="AZ189" s="256"/>
      <c r="BA189" s="256"/>
      <c r="BB189" s="256"/>
      <c r="BC189" s="256"/>
      <c r="BD189" s="256"/>
      <c r="BE189" s="256"/>
      <c r="BF189" s="256"/>
    </row>
    <row r="190" spans="1:58" x14ac:dyDescent="0.3">
      <c r="A190" s="255" t="s">
        <v>955</v>
      </c>
      <c r="B190" s="256" t="s">
        <v>5</v>
      </c>
      <c r="C190" s="256" t="s">
        <v>5</v>
      </c>
      <c r="D190" s="256" t="s">
        <v>5</v>
      </c>
      <c r="E190" s="256" t="s">
        <v>5</v>
      </c>
      <c r="F190" s="256" t="s">
        <v>5</v>
      </c>
      <c r="G190" s="256" t="s">
        <v>5</v>
      </c>
      <c r="H190" s="256" t="s">
        <v>5</v>
      </c>
      <c r="I190" s="256" t="s">
        <v>5</v>
      </c>
      <c r="J190" s="256" t="s">
        <v>5</v>
      </c>
      <c r="K190" s="256" t="s">
        <v>5</v>
      </c>
      <c r="L190" s="256" t="s">
        <v>5</v>
      </c>
      <c r="M190" s="256" t="s">
        <v>5</v>
      </c>
      <c r="N190" s="256" t="s">
        <v>5</v>
      </c>
      <c r="O190" s="256" t="s">
        <v>5</v>
      </c>
      <c r="P190" s="256" t="s">
        <v>5</v>
      </c>
      <c r="Q190" s="256" t="s">
        <v>5</v>
      </c>
      <c r="R190" s="256" t="s">
        <v>5</v>
      </c>
      <c r="S190" s="256" t="s">
        <v>5</v>
      </c>
      <c r="T190" s="256" t="s">
        <v>5</v>
      </c>
      <c r="U190" s="256" t="s">
        <v>5</v>
      </c>
      <c r="V190" s="256" t="s">
        <v>5</v>
      </c>
      <c r="W190" s="256" t="s">
        <v>5</v>
      </c>
      <c r="X190" s="256" t="s">
        <v>5</v>
      </c>
      <c r="Y190" s="256" t="s">
        <v>5</v>
      </c>
      <c r="Z190" s="256" t="s">
        <v>5</v>
      </c>
      <c r="AA190" s="256" t="s">
        <v>5</v>
      </c>
      <c r="AB190" s="256" t="s">
        <v>5</v>
      </c>
      <c r="AC190" s="256" t="s">
        <v>5</v>
      </c>
      <c r="AD190" s="256" t="s">
        <v>5</v>
      </c>
      <c r="AE190" s="256" t="s">
        <v>5</v>
      </c>
      <c r="AF190" s="256" t="s">
        <v>5</v>
      </c>
      <c r="AG190" s="256" t="s">
        <v>5</v>
      </c>
      <c r="AH190" s="256" t="s">
        <v>5</v>
      </c>
      <c r="AI190" s="256" t="s">
        <v>5</v>
      </c>
      <c r="AJ190" s="256" t="s">
        <v>5</v>
      </c>
      <c r="AK190" s="256" t="s">
        <v>5</v>
      </c>
      <c r="AL190" s="256" t="s">
        <v>5</v>
      </c>
      <c r="AM190" s="256" t="s">
        <v>5</v>
      </c>
      <c r="AN190" s="256" t="s">
        <v>5</v>
      </c>
      <c r="AO190" s="256" t="s">
        <v>5</v>
      </c>
      <c r="AP190" s="256" t="s">
        <v>5</v>
      </c>
      <c r="AQ190" s="256" t="s">
        <v>5</v>
      </c>
      <c r="AR190" s="256" t="s">
        <v>5</v>
      </c>
      <c r="AS190" s="256" t="s">
        <v>5</v>
      </c>
      <c r="AT190" s="256" t="s">
        <v>5</v>
      </c>
      <c r="AU190" s="256" t="s">
        <v>5</v>
      </c>
      <c r="AV190" s="256" t="s">
        <v>5</v>
      </c>
      <c r="AW190" s="256" t="s">
        <v>5</v>
      </c>
      <c r="AX190" s="256" t="s">
        <v>5</v>
      </c>
      <c r="AY190" s="256" t="s">
        <v>5</v>
      </c>
      <c r="AZ190" s="256" t="s">
        <v>5</v>
      </c>
      <c r="BA190" s="256" t="s">
        <v>5</v>
      </c>
      <c r="BB190" s="256" t="s">
        <v>5</v>
      </c>
      <c r="BC190" s="256" t="s">
        <v>5</v>
      </c>
      <c r="BD190" s="256" t="s">
        <v>5</v>
      </c>
      <c r="BE190" s="256" t="s">
        <v>5</v>
      </c>
      <c r="BF190" s="256" t="s">
        <v>5</v>
      </c>
    </row>
    <row r="191" spans="1:58" x14ac:dyDescent="0.3">
      <c r="A191" s="255" t="s">
        <v>956</v>
      </c>
      <c r="B191" s="256">
        <v>12</v>
      </c>
      <c r="C191" s="256">
        <v>3</v>
      </c>
      <c r="D191" s="256">
        <v>6</v>
      </c>
      <c r="E191" s="256">
        <v>9</v>
      </c>
      <c r="F191" s="256">
        <v>12</v>
      </c>
      <c r="G191" s="256">
        <v>3</v>
      </c>
      <c r="H191" s="256">
        <v>6</v>
      </c>
      <c r="I191" s="256">
        <v>9</v>
      </c>
      <c r="J191" s="256">
        <v>12</v>
      </c>
      <c r="K191" s="256">
        <v>3</v>
      </c>
      <c r="L191" s="256">
        <v>6</v>
      </c>
      <c r="M191" s="256">
        <v>9</v>
      </c>
      <c r="N191" s="256">
        <v>12</v>
      </c>
      <c r="O191" s="256">
        <v>3</v>
      </c>
      <c r="P191" s="256">
        <v>6</v>
      </c>
      <c r="Q191" s="256">
        <v>9</v>
      </c>
      <c r="R191" s="256">
        <v>12</v>
      </c>
      <c r="S191" s="256">
        <v>3</v>
      </c>
      <c r="T191" s="256">
        <v>6</v>
      </c>
      <c r="U191" s="256">
        <v>9</v>
      </c>
      <c r="V191" s="256">
        <v>12</v>
      </c>
      <c r="W191" s="256">
        <v>3</v>
      </c>
      <c r="X191" s="256">
        <v>6</v>
      </c>
      <c r="Y191" s="256">
        <v>9</v>
      </c>
      <c r="Z191" s="256">
        <v>12</v>
      </c>
      <c r="AA191" s="256">
        <v>3</v>
      </c>
      <c r="AB191" s="256">
        <v>6</v>
      </c>
      <c r="AC191" s="256">
        <v>9</v>
      </c>
      <c r="AD191" s="256">
        <v>12</v>
      </c>
      <c r="AE191" s="256">
        <v>3</v>
      </c>
      <c r="AF191" s="256">
        <v>6</v>
      </c>
      <c r="AG191" s="256">
        <v>9</v>
      </c>
      <c r="AH191" s="256">
        <v>12</v>
      </c>
      <c r="AI191" s="256">
        <v>3</v>
      </c>
      <c r="AJ191" s="256">
        <v>6</v>
      </c>
      <c r="AK191" s="256">
        <v>9</v>
      </c>
      <c r="AL191" s="256">
        <v>12</v>
      </c>
      <c r="AM191" s="256">
        <v>3</v>
      </c>
      <c r="AN191" s="256">
        <v>6</v>
      </c>
      <c r="AO191" s="256">
        <v>9</v>
      </c>
      <c r="AP191" s="256">
        <v>12</v>
      </c>
      <c r="AQ191" s="256">
        <v>3</v>
      </c>
      <c r="AR191" s="256">
        <v>6</v>
      </c>
      <c r="AS191" s="256">
        <v>9</v>
      </c>
      <c r="AT191" s="256">
        <v>12</v>
      </c>
      <c r="AU191" s="256">
        <v>3</v>
      </c>
      <c r="AV191" s="256">
        <v>6</v>
      </c>
      <c r="AW191" s="256">
        <v>9</v>
      </c>
      <c r="AX191" s="256">
        <v>12</v>
      </c>
      <c r="AY191" s="256">
        <v>3</v>
      </c>
      <c r="AZ191" s="256">
        <v>6</v>
      </c>
      <c r="BA191" s="256">
        <v>9</v>
      </c>
      <c r="BB191" s="256">
        <v>12</v>
      </c>
      <c r="BC191" s="256">
        <v>3</v>
      </c>
      <c r="BD191" s="256">
        <v>6</v>
      </c>
      <c r="BE191" s="256">
        <v>9</v>
      </c>
      <c r="BF191" s="256">
        <v>12</v>
      </c>
    </row>
    <row r="192" spans="1:58" x14ac:dyDescent="0.3">
      <c r="A192" s="255"/>
      <c r="B192" s="256"/>
      <c r="C192" s="256"/>
      <c r="D192" s="256"/>
      <c r="E192" s="256"/>
      <c r="F192" s="256"/>
      <c r="G192" s="256"/>
      <c r="H192" s="256"/>
      <c r="I192" s="256"/>
      <c r="J192" s="256"/>
      <c r="K192" s="256"/>
      <c r="L192" s="256"/>
      <c r="M192" s="256"/>
      <c r="N192" s="256"/>
      <c r="O192" s="256"/>
      <c r="P192" s="256"/>
      <c r="Q192" s="256"/>
      <c r="R192" s="256"/>
      <c r="S192" s="256"/>
      <c r="T192" s="256"/>
      <c r="U192" s="256"/>
      <c r="V192" s="256"/>
      <c r="W192" s="256"/>
      <c r="X192" s="256"/>
      <c r="Y192" s="256"/>
      <c r="Z192" s="256"/>
      <c r="AA192" s="256"/>
      <c r="AB192" s="256"/>
      <c r="AC192" s="256"/>
      <c r="AD192" s="256"/>
      <c r="AE192" s="256"/>
      <c r="AF192" s="256"/>
      <c r="AG192" s="256"/>
      <c r="AH192" s="256"/>
      <c r="AI192" s="256"/>
      <c r="AJ192" s="256"/>
      <c r="AK192" s="256"/>
      <c r="AL192" s="256"/>
      <c r="AM192" s="256"/>
      <c r="AN192" s="256"/>
      <c r="AO192" s="256"/>
      <c r="AP192" s="256"/>
      <c r="AQ192" s="256"/>
      <c r="AR192" s="256"/>
      <c r="AS192" s="256"/>
      <c r="AT192" s="256"/>
      <c r="AU192" s="256"/>
      <c r="AV192" s="256"/>
      <c r="AW192" s="256"/>
      <c r="AX192" s="256"/>
      <c r="AY192" s="256"/>
      <c r="AZ192" s="256"/>
      <c r="BA192" s="256"/>
      <c r="BB192" s="256"/>
      <c r="BC192" s="256"/>
      <c r="BD192" s="256"/>
      <c r="BE192" s="256"/>
      <c r="BF192" s="257"/>
    </row>
    <row r="193" spans="1:61" x14ac:dyDescent="0.3">
      <c r="A193" s="255" t="s">
        <v>957</v>
      </c>
      <c r="B193" s="257">
        <v>15305</v>
      </c>
      <c r="C193" s="257">
        <v>1541</v>
      </c>
      <c r="D193" s="257">
        <v>6605</v>
      </c>
      <c r="E193" s="257">
        <v>9408</v>
      </c>
      <c r="F193" s="257">
        <v>15593</v>
      </c>
      <c r="G193" s="257">
        <v>353</v>
      </c>
      <c r="H193" s="257">
        <v>8193</v>
      </c>
      <c r="I193" s="257">
        <v>8307</v>
      </c>
      <c r="J193" s="257">
        <v>9937</v>
      </c>
      <c r="K193" s="257">
        <v>3150</v>
      </c>
      <c r="L193" s="257">
        <v>3714</v>
      </c>
      <c r="M193" s="257">
        <v>3795</v>
      </c>
      <c r="N193" s="257">
        <v>6746</v>
      </c>
      <c r="O193" s="257">
        <v>2143</v>
      </c>
      <c r="P193" s="257">
        <v>2995</v>
      </c>
      <c r="Q193" s="257">
        <v>5406</v>
      </c>
      <c r="R193" s="257">
        <v>4395</v>
      </c>
      <c r="S193" s="257">
        <v>143303</v>
      </c>
      <c r="T193" s="257">
        <v>280907</v>
      </c>
      <c r="U193" s="257">
        <v>405122</v>
      </c>
      <c r="V193" s="257">
        <v>486839</v>
      </c>
      <c r="W193" s="257">
        <v>4853</v>
      </c>
      <c r="X193" s="257">
        <v>101661</v>
      </c>
      <c r="Y193" s="257">
        <v>229602</v>
      </c>
      <c r="Z193" s="257">
        <v>253071</v>
      </c>
      <c r="AA193" s="257">
        <v>41509</v>
      </c>
      <c r="AB193" s="257">
        <v>144890</v>
      </c>
      <c r="AC193" s="257">
        <v>284132</v>
      </c>
      <c r="AD193" s="257">
        <v>397871</v>
      </c>
      <c r="AE193" s="257">
        <v>74786</v>
      </c>
      <c r="AF193" s="257">
        <v>230293</v>
      </c>
      <c r="AG193" s="257">
        <v>340307</v>
      </c>
      <c r="AH193" s="257">
        <v>533922</v>
      </c>
      <c r="AI193" s="257">
        <v>117155</v>
      </c>
      <c r="AJ193" s="257">
        <v>356560</v>
      </c>
      <c r="AK193" s="257">
        <v>581187</v>
      </c>
      <c r="AL193" s="257">
        <v>848920</v>
      </c>
      <c r="AM193" s="257">
        <v>139431</v>
      </c>
      <c r="AN193" s="257">
        <v>687306</v>
      </c>
      <c r="AO193" s="257">
        <v>1086351</v>
      </c>
      <c r="AP193" s="257">
        <v>1644346</v>
      </c>
      <c r="AQ193" s="257">
        <v>223162</v>
      </c>
      <c r="AR193" s="257">
        <v>535455</v>
      </c>
      <c r="AS193" s="257">
        <v>1024150</v>
      </c>
      <c r="AT193" s="257">
        <v>1904185</v>
      </c>
      <c r="AU193" s="257">
        <v>655334</v>
      </c>
      <c r="AV193" s="257">
        <v>1678171</v>
      </c>
      <c r="AW193" s="257">
        <v>2617688</v>
      </c>
      <c r="AX193" s="257">
        <v>4396003</v>
      </c>
      <c r="AY193" s="257">
        <v>1529995</v>
      </c>
      <c r="AZ193" s="257">
        <v>3403980</v>
      </c>
      <c r="BA193" s="257">
        <v>5389766</v>
      </c>
      <c r="BB193" s="257">
        <v>6363475</v>
      </c>
      <c r="BC193" s="257">
        <v>2814955</v>
      </c>
      <c r="BD193" s="257">
        <v>5126161</v>
      </c>
      <c r="BE193" s="257">
        <v>8909843</v>
      </c>
      <c r="BF193" s="257">
        <v>11905041</v>
      </c>
    </row>
    <row r="194" spans="1:61" x14ac:dyDescent="0.3">
      <c r="A194" s="255" t="s">
        <v>958</v>
      </c>
      <c r="B194" s="257">
        <v>1885</v>
      </c>
      <c r="C194" s="257">
        <v>4026</v>
      </c>
      <c r="D194" s="257">
        <v>7162</v>
      </c>
      <c r="E194" s="257">
        <v>11788</v>
      </c>
      <c r="F194" s="257">
        <v>14418</v>
      </c>
      <c r="G194" s="257">
        <v>2800</v>
      </c>
      <c r="H194" s="257">
        <v>5588</v>
      </c>
      <c r="I194" s="257">
        <v>6883</v>
      </c>
      <c r="J194" s="257">
        <v>9429</v>
      </c>
      <c r="K194" s="257">
        <v>707</v>
      </c>
      <c r="L194" s="257">
        <v>2569</v>
      </c>
      <c r="M194" s="257">
        <v>2495</v>
      </c>
      <c r="N194" s="257">
        <v>3123</v>
      </c>
      <c r="O194" s="257">
        <v>499</v>
      </c>
      <c r="P194" s="257">
        <v>1101</v>
      </c>
      <c r="Q194" s="257">
        <v>1832</v>
      </c>
      <c r="R194" s="257">
        <v>2267</v>
      </c>
      <c r="S194" s="257">
        <v>120006</v>
      </c>
      <c r="T194" s="257">
        <v>202451</v>
      </c>
      <c r="U194" s="257">
        <v>300619</v>
      </c>
      <c r="V194" s="257">
        <v>468078</v>
      </c>
      <c r="W194" s="257">
        <v>4037</v>
      </c>
      <c r="X194" s="257">
        <v>120278</v>
      </c>
      <c r="Y194" s="257">
        <v>277087</v>
      </c>
      <c r="Z194" s="257">
        <v>294457</v>
      </c>
      <c r="AA194" s="257">
        <v>66577</v>
      </c>
      <c r="AB194" s="257">
        <v>180653</v>
      </c>
      <c r="AC194" s="257">
        <v>305267</v>
      </c>
      <c r="AD194" s="257">
        <v>408468</v>
      </c>
      <c r="AE194" s="257">
        <v>68240</v>
      </c>
      <c r="AF194" s="257">
        <v>200047</v>
      </c>
      <c r="AG194" s="257">
        <v>293559</v>
      </c>
      <c r="AH194" s="257">
        <v>435064</v>
      </c>
      <c r="AI194" s="257">
        <v>93692</v>
      </c>
      <c r="AJ194" s="257">
        <v>241159</v>
      </c>
      <c r="AK194" s="257">
        <v>358146</v>
      </c>
      <c r="AL194" s="257">
        <v>528809</v>
      </c>
      <c r="AM194" s="257">
        <v>96529</v>
      </c>
      <c r="AN194" s="257">
        <v>364980</v>
      </c>
      <c r="AO194" s="257">
        <v>597355</v>
      </c>
      <c r="AP194" s="257">
        <v>940379</v>
      </c>
      <c r="AQ194" s="257">
        <v>206826</v>
      </c>
      <c r="AR194" s="257">
        <v>432562</v>
      </c>
      <c r="AS194" s="257">
        <v>751872</v>
      </c>
      <c r="AT194" s="257">
        <v>1286926</v>
      </c>
      <c r="AU194" s="257">
        <v>236531</v>
      </c>
      <c r="AV194" s="257">
        <v>705094</v>
      </c>
      <c r="AW194" s="257">
        <v>1158350</v>
      </c>
      <c r="AX194" s="257">
        <v>1883358</v>
      </c>
      <c r="AY194" s="257">
        <v>462095</v>
      </c>
      <c r="AZ194" s="257">
        <v>1119431</v>
      </c>
      <c r="BA194" s="257">
        <v>1731742</v>
      </c>
      <c r="BB194" s="257">
        <v>2106303</v>
      </c>
      <c r="BC194" s="257">
        <v>981886</v>
      </c>
      <c r="BD194" s="257">
        <v>1824958</v>
      </c>
      <c r="BE194" s="257">
        <v>3452556</v>
      </c>
      <c r="BF194" s="257">
        <v>4246137</v>
      </c>
    </row>
    <row r="195" spans="1:61" x14ac:dyDescent="0.3">
      <c r="A195" s="255" t="s">
        <v>959</v>
      </c>
      <c r="B195" s="257">
        <v>13420</v>
      </c>
      <c r="C195" s="257">
        <v>-2485</v>
      </c>
      <c r="D195" s="257">
        <v>-557</v>
      </c>
      <c r="E195" s="257">
        <v>-2380</v>
      </c>
      <c r="F195" s="257">
        <v>1175</v>
      </c>
      <c r="G195" s="257">
        <v>-2447</v>
      </c>
      <c r="H195" s="257">
        <v>2605</v>
      </c>
      <c r="I195" s="257">
        <v>1424</v>
      </c>
      <c r="J195" s="257">
        <v>508</v>
      </c>
      <c r="K195" s="257">
        <v>2443</v>
      </c>
      <c r="L195" s="257">
        <v>1145</v>
      </c>
      <c r="M195" s="257">
        <v>1300</v>
      </c>
      <c r="N195" s="257">
        <v>3623</v>
      </c>
      <c r="O195" s="257">
        <v>1644</v>
      </c>
      <c r="P195" s="257">
        <v>1894</v>
      </c>
      <c r="Q195" s="257">
        <v>3574</v>
      </c>
      <c r="R195" s="257">
        <v>2128</v>
      </c>
      <c r="S195" s="257">
        <v>23297</v>
      </c>
      <c r="T195" s="257">
        <v>78456</v>
      </c>
      <c r="U195" s="257">
        <v>104503</v>
      </c>
      <c r="V195" s="257">
        <v>18761</v>
      </c>
      <c r="W195" s="257">
        <v>816</v>
      </c>
      <c r="X195" s="257">
        <v>-18617</v>
      </c>
      <c r="Y195" s="257">
        <v>-47485</v>
      </c>
      <c r="Z195" s="257">
        <v>-41386</v>
      </c>
      <c r="AA195" s="257">
        <v>-25068</v>
      </c>
      <c r="AB195" s="257">
        <v>-35763</v>
      </c>
      <c r="AC195" s="257">
        <v>-21135</v>
      </c>
      <c r="AD195" s="257">
        <v>-10597</v>
      </c>
      <c r="AE195" s="257">
        <v>6546</v>
      </c>
      <c r="AF195" s="257">
        <v>30246</v>
      </c>
      <c r="AG195" s="257">
        <v>46748</v>
      </c>
      <c r="AH195" s="257">
        <v>98858</v>
      </c>
      <c r="AI195" s="257">
        <v>23463</v>
      </c>
      <c r="AJ195" s="257">
        <v>115401</v>
      </c>
      <c r="AK195" s="257">
        <v>223041</v>
      </c>
      <c r="AL195" s="257">
        <v>320111</v>
      </c>
      <c r="AM195" s="257">
        <v>42902</v>
      </c>
      <c r="AN195" s="257">
        <v>322326</v>
      </c>
      <c r="AO195" s="257">
        <v>488996</v>
      </c>
      <c r="AP195" s="257">
        <v>703967</v>
      </c>
      <c r="AQ195" s="257">
        <v>16336</v>
      </c>
      <c r="AR195" s="257">
        <v>102893</v>
      </c>
      <c r="AS195" s="257">
        <v>272278</v>
      </c>
      <c r="AT195" s="257">
        <v>617259</v>
      </c>
      <c r="AU195" s="257">
        <v>418803</v>
      </c>
      <c r="AV195" s="257">
        <v>973077</v>
      </c>
      <c r="AW195" s="257">
        <v>1459338</v>
      </c>
      <c r="AX195" s="257">
        <v>2512645</v>
      </c>
      <c r="AY195" s="257">
        <v>1067900</v>
      </c>
      <c r="AZ195" s="257">
        <v>2284549</v>
      </c>
      <c r="BA195" s="257">
        <v>3658024</v>
      </c>
      <c r="BB195" s="257">
        <v>4257172</v>
      </c>
      <c r="BC195" s="257">
        <v>1833069</v>
      </c>
      <c r="BD195" s="257">
        <v>3301203</v>
      </c>
      <c r="BE195" s="257">
        <v>5457287</v>
      </c>
      <c r="BF195" s="257">
        <v>7658904</v>
      </c>
      <c r="BI195" s="1">
        <f>BC195-BC196</f>
        <v>1519843</v>
      </c>
    </row>
    <row r="196" spans="1:61" x14ac:dyDescent="0.3">
      <c r="A196" s="255" t="s">
        <v>960</v>
      </c>
      <c r="B196" s="256" t="s">
        <v>792</v>
      </c>
      <c r="C196" s="256" t="s">
        <v>792</v>
      </c>
      <c r="D196" s="256" t="s">
        <v>792</v>
      </c>
      <c r="E196" s="256" t="s">
        <v>792</v>
      </c>
      <c r="F196" s="257">
        <v>192657</v>
      </c>
      <c r="G196" s="257">
        <v>64651</v>
      </c>
      <c r="H196" s="257">
        <v>167155</v>
      </c>
      <c r="I196" s="257">
        <v>331683</v>
      </c>
      <c r="J196" s="257">
        <v>507405</v>
      </c>
      <c r="K196" s="257">
        <v>137934</v>
      </c>
      <c r="L196" s="257">
        <v>72326</v>
      </c>
      <c r="M196" s="257">
        <v>242346</v>
      </c>
      <c r="N196" s="257">
        <v>407807</v>
      </c>
      <c r="O196" s="257">
        <v>105652</v>
      </c>
      <c r="P196" s="257">
        <v>676900</v>
      </c>
      <c r="Q196" s="257">
        <v>1496985</v>
      </c>
      <c r="R196" s="257">
        <v>2607356</v>
      </c>
      <c r="S196" s="257">
        <v>12943</v>
      </c>
      <c r="T196" s="257">
        <v>57224</v>
      </c>
      <c r="U196" s="257">
        <v>86219</v>
      </c>
      <c r="V196" s="257">
        <v>1086636</v>
      </c>
      <c r="W196" s="257">
        <v>39014</v>
      </c>
      <c r="X196" s="257">
        <v>25847</v>
      </c>
      <c r="Y196" s="257">
        <v>28759</v>
      </c>
      <c r="Z196" s="257">
        <v>-125600</v>
      </c>
      <c r="AA196" s="257">
        <v>17740</v>
      </c>
      <c r="AB196" s="257">
        <v>22526</v>
      </c>
      <c r="AC196" s="257">
        <v>53260</v>
      </c>
      <c r="AD196" s="257">
        <v>-269681</v>
      </c>
      <c r="AE196" s="257">
        <v>18825</v>
      </c>
      <c r="AF196" s="257">
        <v>3841</v>
      </c>
      <c r="AG196" s="257">
        <v>20849</v>
      </c>
      <c r="AH196" s="257">
        <v>56649</v>
      </c>
      <c r="AI196" s="257">
        <v>25578</v>
      </c>
      <c r="AJ196" s="257">
        <v>58807</v>
      </c>
      <c r="AK196" s="257">
        <v>98376</v>
      </c>
      <c r="AL196" s="257">
        <v>149811</v>
      </c>
      <c r="AM196" s="257">
        <v>21686</v>
      </c>
      <c r="AN196" s="257">
        <v>88228</v>
      </c>
      <c r="AO196" s="257">
        <v>257209</v>
      </c>
      <c r="AP196" s="257">
        <v>-174289</v>
      </c>
      <c r="AQ196" s="257">
        <v>-34576</v>
      </c>
      <c r="AR196" s="257">
        <v>-49909</v>
      </c>
      <c r="AS196" s="257">
        <v>11453</v>
      </c>
      <c r="AT196" s="257">
        <v>-325490</v>
      </c>
      <c r="AU196" s="257">
        <v>102030</v>
      </c>
      <c r="AV196" s="257">
        <v>234884</v>
      </c>
      <c r="AW196" s="257">
        <v>289417</v>
      </c>
      <c r="AX196" s="257">
        <v>391202</v>
      </c>
      <c r="AY196" s="257">
        <v>117187</v>
      </c>
      <c r="AZ196" s="257">
        <v>311193</v>
      </c>
      <c r="BA196" s="257">
        <v>407076</v>
      </c>
      <c r="BB196" s="257">
        <v>340959</v>
      </c>
      <c r="BC196" s="257">
        <v>313226</v>
      </c>
      <c r="BD196" s="257">
        <v>600171</v>
      </c>
      <c r="BE196" s="257">
        <v>523931</v>
      </c>
      <c r="BF196" s="257">
        <v>503042</v>
      </c>
    </row>
    <row r="197" spans="1:61" x14ac:dyDescent="0.3">
      <c r="A197" s="258" t="s">
        <v>961</v>
      </c>
      <c r="B197" s="259">
        <v>0</v>
      </c>
      <c r="C197" s="259">
        <v>0</v>
      </c>
      <c r="D197" s="259">
        <v>0</v>
      </c>
      <c r="E197" s="259">
        <v>0</v>
      </c>
      <c r="F197" s="259">
        <v>0</v>
      </c>
      <c r="G197" s="259">
        <v>0</v>
      </c>
      <c r="H197" s="259">
        <v>0</v>
      </c>
      <c r="I197" s="259">
        <v>0</v>
      </c>
      <c r="J197" s="259">
        <v>0</v>
      </c>
      <c r="K197" s="259">
        <v>0</v>
      </c>
      <c r="L197" s="259">
        <v>0</v>
      </c>
      <c r="M197" s="259">
        <v>0</v>
      </c>
      <c r="N197" s="259">
        <v>0</v>
      </c>
      <c r="O197" s="259">
        <v>0</v>
      </c>
      <c r="P197" s="259">
        <v>0</v>
      </c>
      <c r="Q197" s="259">
        <v>0</v>
      </c>
      <c r="R197" s="259">
        <v>0</v>
      </c>
      <c r="S197" s="259">
        <v>0</v>
      </c>
      <c r="T197" s="259">
        <v>0</v>
      </c>
      <c r="U197" s="259">
        <v>0</v>
      </c>
      <c r="V197" s="259">
        <v>0</v>
      </c>
      <c r="W197" s="259">
        <v>0</v>
      </c>
      <c r="X197" s="259">
        <v>0</v>
      </c>
      <c r="Y197" s="259">
        <v>0</v>
      </c>
      <c r="Z197" s="259">
        <v>0</v>
      </c>
      <c r="AA197" s="259">
        <v>0</v>
      </c>
      <c r="AB197" s="259">
        <v>0</v>
      </c>
      <c r="AC197" s="259">
        <v>0</v>
      </c>
      <c r="AD197" s="259">
        <v>0</v>
      </c>
      <c r="AE197" s="259">
        <v>0</v>
      </c>
      <c r="AF197" s="259">
        <v>0</v>
      </c>
      <c r="AG197" s="259">
        <v>0</v>
      </c>
      <c r="AH197" s="259">
        <v>0</v>
      </c>
      <c r="AI197" s="259">
        <v>0</v>
      </c>
      <c r="AJ197" s="259">
        <v>0</v>
      </c>
      <c r="AK197" s="259">
        <v>0</v>
      </c>
      <c r="AL197" s="259">
        <v>0</v>
      </c>
      <c r="AM197" s="259">
        <v>0</v>
      </c>
      <c r="AN197" s="259">
        <v>0</v>
      </c>
      <c r="AO197" s="259">
        <v>0</v>
      </c>
      <c r="AP197" s="259">
        <v>0</v>
      </c>
      <c r="AQ197" s="259">
        <v>0</v>
      </c>
      <c r="AR197" s="259">
        <v>0</v>
      </c>
      <c r="AS197" s="259">
        <v>0</v>
      </c>
      <c r="AT197" s="259">
        <v>0</v>
      </c>
      <c r="AU197" s="259">
        <v>0</v>
      </c>
      <c r="AV197" s="259">
        <v>0</v>
      </c>
      <c r="AW197" s="259">
        <v>0</v>
      </c>
      <c r="AX197" s="259">
        <v>0</v>
      </c>
      <c r="AY197" s="259">
        <v>0</v>
      </c>
      <c r="AZ197" s="259">
        <v>0</v>
      </c>
      <c r="BA197" s="259">
        <v>0</v>
      </c>
      <c r="BB197" s="259">
        <v>0</v>
      </c>
      <c r="BC197" s="259">
        <v>96642</v>
      </c>
      <c r="BD197" s="259">
        <v>261808</v>
      </c>
      <c r="BE197" s="259">
        <v>0</v>
      </c>
      <c r="BF197" s="259">
        <v>0</v>
      </c>
    </row>
    <row r="198" spans="1:61" x14ac:dyDescent="0.3">
      <c r="A198" s="258" t="s">
        <v>962</v>
      </c>
      <c r="B198" s="259">
        <v>30447</v>
      </c>
      <c r="C198" s="259">
        <v>23091</v>
      </c>
      <c r="D198" s="259">
        <v>44853</v>
      </c>
      <c r="E198" s="259">
        <v>80664</v>
      </c>
      <c r="F198" s="259">
        <v>189648</v>
      </c>
      <c r="G198" s="259">
        <v>64550</v>
      </c>
      <c r="H198" s="259">
        <v>167559</v>
      </c>
      <c r="I198" s="259">
        <v>331601</v>
      </c>
      <c r="J198" s="259">
        <v>507341</v>
      </c>
      <c r="K198" s="259">
        <v>137952</v>
      </c>
      <c r="L198" s="259">
        <v>258873</v>
      </c>
      <c r="M198" s="259">
        <v>428477</v>
      </c>
      <c r="N198" s="259">
        <v>554322</v>
      </c>
      <c r="O198" s="259">
        <v>108054</v>
      </c>
      <c r="P198" s="259">
        <v>220103</v>
      </c>
      <c r="Q198" s="259">
        <v>287359</v>
      </c>
      <c r="R198" s="259">
        <v>334351</v>
      </c>
      <c r="S198" s="259">
        <v>35597</v>
      </c>
      <c r="T198" s="259">
        <v>80178</v>
      </c>
      <c r="U198" s="259">
        <v>113609</v>
      </c>
      <c r="V198" s="259">
        <v>143634</v>
      </c>
      <c r="W198" s="259">
        <v>20446</v>
      </c>
      <c r="X198" s="259">
        <v>40303</v>
      </c>
      <c r="Y198" s="259">
        <v>56290</v>
      </c>
      <c r="Z198" s="259">
        <v>84354</v>
      </c>
      <c r="AA198" s="259">
        <v>15572</v>
      </c>
      <c r="AB198" s="259">
        <v>30623</v>
      </c>
      <c r="AC198" s="259">
        <v>45024</v>
      </c>
      <c r="AD198" s="259">
        <v>75029</v>
      </c>
      <c r="AE198" s="259">
        <v>18931</v>
      </c>
      <c r="AF198" s="259">
        <v>46271</v>
      </c>
      <c r="AG198" s="259">
        <v>61431</v>
      </c>
      <c r="AH198" s="259">
        <v>98116</v>
      </c>
      <c r="AI198" s="259">
        <v>29111</v>
      </c>
      <c r="AJ198" s="259">
        <v>55447</v>
      </c>
      <c r="AK198" s="259">
        <v>79113</v>
      </c>
      <c r="AL198" s="259">
        <v>117971</v>
      </c>
      <c r="AM198" s="259">
        <v>21992</v>
      </c>
      <c r="AN198" s="259">
        <v>55963</v>
      </c>
      <c r="AO198" s="259">
        <v>159398</v>
      </c>
      <c r="AP198" s="259">
        <v>245716</v>
      </c>
      <c r="AQ198" s="259">
        <v>80528</v>
      </c>
      <c r="AR198" s="259">
        <v>154798</v>
      </c>
      <c r="AS198" s="259">
        <v>244665</v>
      </c>
      <c r="AT198" s="259">
        <v>337947</v>
      </c>
      <c r="AU198" s="259">
        <v>81780</v>
      </c>
      <c r="AV198" s="259">
        <v>152447</v>
      </c>
      <c r="AW198" s="259">
        <v>222756</v>
      </c>
      <c r="AX198" s="259">
        <v>315640</v>
      </c>
      <c r="AY198" s="259">
        <v>90184</v>
      </c>
      <c r="AZ198" s="259">
        <v>174998</v>
      </c>
      <c r="BA198" s="259">
        <v>274119</v>
      </c>
      <c r="BB198" s="259">
        <v>367529</v>
      </c>
      <c r="BC198" s="259">
        <v>83634</v>
      </c>
      <c r="BD198" s="259">
        <v>188135</v>
      </c>
      <c r="BE198" s="259">
        <v>320554</v>
      </c>
      <c r="BF198" s="259">
        <v>567393</v>
      </c>
    </row>
    <row r="199" spans="1:61" x14ac:dyDescent="0.3">
      <c r="A199" s="258" t="s">
        <v>963</v>
      </c>
      <c r="B199" s="264" t="s">
        <v>792</v>
      </c>
      <c r="C199" s="264" t="s">
        <v>792</v>
      </c>
      <c r="D199" s="264" t="s">
        <v>792</v>
      </c>
      <c r="E199" s="264" t="s">
        <v>792</v>
      </c>
      <c r="F199" s="259">
        <v>0</v>
      </c>
      <c r="G199" s="259">
        <v>0</v>
      </c>
      <c r="H199" s="259">
        <v>0</v>
      </c>
      <c r="I199" s="259">
        <v>0</v>
      </c>
      <c r="J199" s="259">
        <v>0</v>
      </c>
      <c r="K199" s="259">
        <v>0</v>
      </c>
      <c r="L199" s="259">
        <v>0</v>
      </c>
      <c r="M199" s="259">
        <v>0</v>
      </c>
      <c r="N199" s="259">
        <v>44115</v>
      </c>
      <c r="O199" s="259">
        <v>0</v>
      </c>
      <c r="P199" s="259">
        <v>0</v>
      </c>
      <c r="Q199" s="259">
        <v>616159</v>
      </c>
      <c r="R199" s="259">
        <v>2276651</v>
      </c>
      <c r="S199" s="259">
        <v>0</v>
      </c>
      <c r="T199" s="259">
        <v>0</v>
      </c>
      <c r="U199" s="259">
        <v>0</v>
      </c>
      <c r="V199" s="259">
        <v>1028666</v>
      </c>
      <c r="W199" s="259">
        <v>0</v>
      </c>
      <c r="X199" s="259">
        <v>-18416</v>
      </c>
      <c r="Y199" s="259">
        <v>0</v>
      </c>
      <c r="Z199" s="259">
        <v>79497</v>
      </c>
      <c r="AA199" s="259">
        <v>0</v>
      </c>
      <c r="AB199" s="259">
        <v>6712</v>
      </c>
      <c r="AC199" s="259">
        <v>6712</v>
      </c>
      <c r="AD199" s="259">
        <v>0</v>
      </c>
      <c r="AE199" s="259">
        <v>0</v>
      </c>
      <c r="AF199" s="259">
        <v>0</v>
      </c>
      <c r="AG199" s="259">
        <v>0</v>
      </c>
      <c r="AH199" s="259">
        <v>0</v>
      </c>
      <c r="AI199" s="259">
        <v>0</v>
      </c>
      <c r="AJ199" s="259">
        <v>0</v>
      </c>
      <c r="AK199" s="259">
        <v>64</v>
      </c>
      <c r="AL199" s="259">
        <v>89</v>
      </c>
      <c r="AM199" s="259">
        <v>0</v>
      </c>
      <c r="AN199" s="259">
        <v>0</v>
      </c>
      <c r="AO199" s="259">
        <v>0</v>
      </c>
      <c r="AP199" s="259">
        <v>0</v>
      </c>
      <c r="AQ199" s="259">
        <v>0</v>
      </c>
      <c r="AR199" s="259">
        <v>0</v>
      </c>
      <c r="AS199" s="259">
        <v>0</v>
      </c>
      <c r="AT199" s="259">
        <v>0</v>
      </c>
      <c r="AU199" s="259">
        <v>0</v>
      </c>
      <c r="AV199" s="259">
        <v>0</v>
      </c>
      <c r="AW199" s="259">
        <v>0</v>
      </c>
      <c r="AX199" s="259">
        <v>0</v>
      </c>
      <c r="AY199" s="259">
        <v>0</v>
      </c>
      <c r="AZ199" s="259">
        <v>0</v>
      </c>
      <c r="BA199" s="259">
        <v>0</v>
      </c>
      <c r="BB199" s="259">
        <v>0</v>
      </c>
      <c r="BC199" s="259">
        <v>0</v>
      </c>
      <c r="BD199" s="259">
        <v>0</v>
      </c>
      <c r="BE199" s="259">
        <v>0</v>
      </c>
      <c r="BF199" s="259">
        <v>0</v>
      </c>
    </row>
    <row r="200" spans="1:61" x14ac:dyDescent="0.3">
      <c r="A200" s="258" t="s">
        <v>964</v>
      </c>
      <c r="B200" s="264" t="s">
        <v>792</v>
      </c>
      <c r="C200" s="264" t="s">
        <v>792</v>
      </c>
      <c r="D200" s="264" t="s">
        <v>792</v>
      </c>
      <c r="E200" s="264" t="s">
        <v>792</v>
      </c>
      <c r="F200" s="259">
        <v>594</v>
      </c>
      <c r="G200" s="259">
        <v>0</v>
      </c>
      <c r="H200" s="259">
        <v>404</v>
      </c>
      <c r="I200" s="259">
        <v>0</v>
      </c>
      <c r="J200" s="259">
        <v>0</v>
      </c>
      <c r="K200" s="259">
        <v>18</v>
      </c>
      <c r="L200" s="259">
        <v>186547</v>
      </c>
      <c r="M200" s="259">
        <v>186515</v>
      </c>
      <c r="N200" s="259">
        <v>190630</v>
      </c>
      <c r="O200" s="259">
        <v>2402</v>
      </c>
      <c r="P200" s="259">
        <v>0</v>
      </c>
      <c r="Q200" s="259">
        <v>0</v>
      </c>
      <c r="R200" s="259">
        <v>3646</v>
      </c>
      <c r="S200" s="259">
        <v>22654</v>
      </c>
      <c r="T200" s="259">
        <v>22954</v>
      </c>
      <c r="U200" s="259">
        <v>0</v>
      </c>
      <c r="V200" s="259">
        <v>98207</v>
      </c>
      <c r="W200" s="259">
        <v>-18568</v>
      </c>
      <c r="X200" s="259">
        <v>-3960</v>
      </c>
      <c r="Y200" s="259">
        <v>27531</v>
      </c>
      <c r="Z200" s="259">
        <v>271654</v>
      </c>
      <c r="AA200" s="259">
        <v>-2168</v>
      </c>
      <c r="AB200" s="259">
        <v>14809</v>
      </c>
      <c r="AC200" s="259">
        <v>-1524</v>
      </c>
      <c r="AD200" s="259">
        <v>-6712</v>
      </c>
      <c r="AE200" s="259">
        <v>106</v>
      </c>
      <c r="AF200" s="259">
        <v>42430</v>
      </c>
      <c r="AG200" s="259">
        <v>40582</v>
      </c>
      <c r="AH200" s="259">
        <v>0</v>
      </c>
      <c r="AI200" s="259">
        <v>3533</v>
      </c>
      <c r="AJ200" s="259">
        <v>-3360</v>
      </c>
      <c r="AK200" s="259">
        <v>-19199</v>
      </c>
      <c r="AL200" s="259">
        <v>0</v>
      </c>
      <c r="AM200" s="259">
        <v>306</v>
      </c>
      <c r="AN200" s="259">
        <v>-32265</v>
      </c>
      <c r="AO200" s="259">
        <v>0</v>
      </c>
      <c r="AP200" s="259">
        <v>0</v>
      </c>
      <c r="AQ200" s="259">
        <v>115104</v>
      </c>
      <c r="AR200" s="259">
        <v>204707</v>
      </c>
      <c r="AS200" s="259">
        <v>233212</v>
      </c>
      <c r="AT200" s="259">
        <v>0</v>
      </c>
      <c r="AU200" s="259">
        <v>0</v>
      </c>
      <c r="AV200" s="259">
        <v>0</v>
      </c>
      <c r="AW200" s="259">
        <v>0</v>
      </c>
      <c r="AX200" s="259">
        <v>0</v>
      </c>
      <c r="AY200" s="259">
        <v>0</v>
      </c>
      <c r="AZ200" s="259">
        <v>0</v>
      </c>
      <c r="BA200" s="259">
        <v>0</v>
      </c>
      <c r="BB200" s="259">
        <v>26570</v>
      </c>
      <c r="BC200" s="259">
        <v>0</v>
      </c>
      <c r="BD200" s="259">
        <v>436607</v>
      </c>
      <c r="BE200" s="259">
        <v>0</v>
      </c>
      <c r="BF200" s="259">
        <v>64351</v>
      </c>
    </row>
    <row r="201" spans="1:61" x14ac:dyDescent="0.3">
      <c r="A201" s="258" t="s">
        <v>965</v>
      </c>
      <c r="B201" s="264" t="s">
        <v>792</v>
      </c>
      <c r="C201" s="264" t="s">
        <v>792</v>
      </c>
      <c r="D201" s="264" t="s">
        <v>792</v>
      </c>
      <c r="E201" s="264" t="s">
        <v>792</v>
      </c>
      <c r="F201" s="259">
        <v>3603</v>
      </c>
      <c r="G201" s="259">
        <v>101</v>
      </c>
      <c r="H201" s="259">
        <v>0</v>
      </c>
      <c r="I201" s="259">
        <v>82</v>
      </c>
      <c r="J201" s="259">
        <v>64</v>
      </c>
      <c r="K201" s="259">
        <v>0</v>
      </c>
      <c r="L201" s="259">
        <v>0</v>
      </c>
      <c r="M201" s="259">
        <v>384</v>
      </c>
      <c r="N201" s="259">
        <v>0</v>
      </c>
      <c r="O201" s="259">
        <v>0</v>
      </c>
      <c r="P201" s="259">
        <v>456797</v>
      </c>
      <c r="Q201" s="259">
        <v>593467</v>
      </c>
      <c r="R201" s="259">
        <v>0</v>
      </c>
      <c r="S201" s="259">
        <v>0</v>
      </c>
      <c r="T201" s="259">
        <v>0</v>
      </c>
      <c r="U201" s="259">
        <v>-27390</v>
      </c>
      <c r="V201" s="259">
        <v>12543</v>
      </c>
      <c r="W201" s="259">
        <v>0</v>
      </c>
      <c r="X201" s="259">
        <v>0</v>
      </c>
      <c r="Y201" s="259">
        <v>0</v>
      </c>
      <c r="Z201" s="259">
        <v>-17797</v>
      </c>
      <c r="AA201" s="259">
        <v>0</v>
      </c>
      <c r="AB201" s="259">
        <v>0</v>
      </c>
      <c r="AC201" s="259">
        <v>0</v>
      </c>
      <c r="AD201" s="259">
        <v>-351422</v>
      </c>
      <c r="AE201" s="259">
        <v>0</v>
      </c>
      <c r="AF201" s="259">
        <v>0</v>
      </c>
      <c r="AG201" s="259">
        <v>0</v>
      </c>
      <c r="AH201" s="259">
        <v>-41467</v>
      </c>
      <c r="AI201" s="259">
        <v>0</v>
      </c>
      <c r="AJ201" s="259">
        <v>0</v>
      </c>
      <c r="AK201" s="259">
        <v>0</v>
      </c>
      <c r="AL201" s="259">
        <v>31751</v>
      </c>
      <c r="AM201" s="259">
        <v>0</v>
      </c>
      <c r="AN201" s="259">
        <v>0</v>
      </c>
      <c r="AO201" s="259">
        <v>97811</v>
      </c>
      <c r="AP201" s="259">
        <v>-420005</v>
      </c>
      <c r="AQ201" s="259">
        <v>0</v>
      </c>
      <c r="AR201" s="259">
        <v>0</v>
      </c>
      <c r="AS201" s="259">
        <v>0</v>
      </c>
      <c r="AT201" s="259">
        <v>-663437</v>
      </c>
      <c r="AU201" s="259">
        <v>20250</v>
      </c>
      <c r="AV201" s="259">
        <v>82437</v>
      </c>
      <c r="AW201" s="259">
        <v>66661</v>
      </c>
      <c r="AX201" s="259">
        <v>75562</v>
      </c>
      <c r="AY201" s="259">
        <v>27003</v>
      </c>
      <c r="AZ201" s="259">
        <v>136195</v>
      </c>
      <c r="BA201" s="259">
        <v>132957</v>
      </c>
      <c r="BB201" s="259">
        <v>0</v>
      </c>
      <c r="BC201" s="259">
        <v>132950</v>
      </c>
      <c r="BD201" s="259">
        <v>586835</v>
      </c>
      <c r="BE201" s="259">
        <v>203377</v>
      </c>
      <c r="BF201" s="259">
        <v>0</v>
      </c>
    </row>
    <row r="202" spans="1:61" x14ac:dyDescent="0.3">
      <c r="A202" s="258" t="s">
        <v>966</v>
      </c>
      <c r="B202" s="259">
        <v>0</v>
      </c>
      <c r="C202" s="259">
        <v>0</v>
      </c>
      <c r="D202" s="259">
        <v>0</v>
      </c>
      <c r="E202" s="259">
        <v>0</v>
      </c>
      <c r="F202" s="259">
        <v>0</v>
      </c>
      <c r="G202" s="259">
        <v>0</v>
      </c>
      <c r="H202" s="259">
        <v>0</v>
      </c>
      <c r="I202" s="259">
        <v>0</v>
      </c>
      <c r="J202" s="259">
        <v>0</v>
      </c>
      <c r="K202" s="259">
        <v>0</v>
      </c>
      <c r="L202" s="259">
        <v>0</v>
      </c>
      <c r="M202" s="259">
        <v>0</v>
      </c>
      <c r="N202" s="259">
        <v>0</v>
      </c>
      <c r="O202" s="259">
        <v>0</v>
      </c>
      <c r="P202" s="259">
        <v>0</v>
      </c>
      <c r="Q202" s="259">
        <v>0</v>
      </c>
      <c r="R202" s="259">
        <v>0</v>
      </c>
      <c r="S202" s="259">
        <v>0</v>
      </c>
      <c r="T202" s="259">
        <v>0</v>
      </c>
      <c r="U202" s="259">
        <v>0</v>
      </c>
      <c r="V202" s="259">
        <v>0</v>
      </c>
      <c r="W202" s="259">
        <v>0</v>
      </c>
      <c r="X202" s="259">
        <v>0</v>
      </c>
      <c r="Y202" s="259">
        <v>0</v>
      </c>
      <c r="Z202" s="259">
        <v>0</v>
      </c>
      <c r="AA202" s="259">
        <v>0</v>
      </c>
      <c r="AB202" s="259">
        <v>0</v>
      </c>
      <c r="AC202" s="259">
        <v>0</v>
      </c>
      <c r="AD202" s="259">
        <v>0</v>
      </c>
      <c r="AE202" s="259">
        <v>0</v>
      </c>
      <c r="AF202" s="259">
        <v>0</v>
      </c>
      <c r="AG202" s="259">
        <v>0</v>
      </c>
      <c r="AH202" s="259">
        <v>0</v>
      </c>
      <c r="AI202" s="259">
        <v>0</v>
      </c>
      <c r="AJ202" s="259">
        <v>0</v>
      </c>
      <c r="AK202" s="259">
        <v>0</v>
      </c>
      <c r="AL202" s="259">
        <v>0</v>
      </c>
      <c r="AM202" s="259">
        <v>0</v>
      </c>
      <c r="AN202" s="259">
        <v>0</v>
      </c>
      <c r="AO202" s="259">
        <v>0</v>
      </c>
      <c r="AP202" s="259">
        <v>0</v>
      </c>
      <c r="AQ202" s="259">
        <v>0</v>
      </c>
      <c r="AR202" s="259">
        <v>0</v>
      </c>
      <c r="AS202" s="259">
        <v>0</v>
      </c>
      <c r="AT202" s="259">
        <v>0</v>
      </c>
      <c r="AU202" s="259">
        <v>0</v>
      </c>
      <c r="AV202" s="259">
        <v>0</v>
      </c>
      <c r="AW202" s="259">
        <v>0</v>
      </c>
      <c r="AX202" s="259">
        <v>0</v>
      </c>
      <c r="AY202" s="259">
        <v>0</v>
      </c>
      <c r="AZ202" s="259">
        <v>0</v>
      </c>
      <c r="BA202" s="259">
        <v>0</v>
      </c>
      <c r="BB202" s="259">
        <v>0</v>
      </c>
      <c r="BC202" s="259">
        <v>0</v>
      </c>
      <c r="BD202" s="259">
        <v>0</v>
      </c>
      <c r="BE202" s="259">
        <v>0</v>
      </c>
      <c r="BF202" s="259">
        <v>0</v>
      </c>
    </row>
    <row r="203" spans="1:61" x14ac:dyDescent="0.3">
      <c r="A203" s="255" t="s">
        <v>967</v>
      </c>
      <c r="B203" s="257">
        <v>-17025</v>
      </c>
      <c r="C203" s="257">
        <v>-24976</v>
      </c>
      <c r="D203" s="257">
        <v>-49429</v>
      </c>
      <c r="E203" s="257">
        <v>-85616</v>
      </c>
      <c r="F203" s="257">
        <v>-191482</v>
      </c>
      <c r="G203" s="257">
        <v>-67098</v>
      </c>
      <c r="H203" s="257">
        <v>-164550</v>
      </c>
      <c r="I203" s="257">
        <v>-330259</v>
      </c>
      <c r="J203" s="257">
        <v>-506897</v>
      </c>
      <c r="K203" s="257">
        <v>-135491</v>
      </c>
      <c r="L203" s="257">
        <v>-71181</v>
      </c>
      <c r="M203" s="257">
        <v>-241046</v>
      </c>
      <c r="N203" s="257">
        <v>-404184</v>
      </c>
      <c r="O203" s="257">
        <v>-104008</v>
      </c>
      <c r="P203" s="257">
        <v>-675006</v>
      </c>
      <c r="Q203" s="257">
        <v>-1493411</v>
      </c>
      <c r="R203" s="257">
        <v>-2605228</v>
      </c>
      <c r="S203" s="257">
        <v>10354</v>
      </c>
      <c r="T203" s="257">
        <v>21232</v>
      </c>
      <c r="U203" s="257">
        <v>18284</v>
      </c>
      <c r="V203" s="257">
        <v>-1067875</v>
      </c>
      <c r="W203" s="257">
        <v>-38198</v>
      </c>
      <c r="X203" s="257">
        <v>-44464</v>
      </c>
      <c r="Y203" s="257">
        <v>-76244</v>
      </c>
      <c r="Z203" s="257">
        <v>84214</v>
      </c>
      <c r="AA203" s="257">
        <v>-42808</v>
      </c>
      <c r="AB203" s="257">
        <v>-58289</v>
      </c>
      <c r="AC203" s="257">
        <v>-74395</v>
      </c>
      <c r="AD203" s="257">
        <v>259084</v>
      </c>
      <c r="AE203" s="257">
        <v>-12279</v>
      </c>
      <c r="AF203" s="257">
        <v>26405</v>
      </c>
      <c r="AG203" s="257">
        <v>25899</v>
      </c>
      <c r="AH203" s="257">
        <v>42209</v>
      </c>
      <c r="AI203" s="257">
        <v>-2115</v>
      </c>
      <c r="AJ203" s="257">
        <v>56594</v>
      </c>
      <c r="AK203" s="257">
        <v>124665</v>
      </c>
      <c r="AL203" s="257">
        <v>170300</v>
      </c>
      <c r="AM203" s="257">
        <v>21216</v>
      </c>
      <c r="AN203" s="257">
        <v>234098</v>
      </c>
      <c r="AO203" s="257">
        <v>231787</v>
      </c>
      <c r="AP203" s="257">
        <v>878256</v>
      </c>
      <c r="AQ203" s="257">
        <v>50912</v>
      </c>
      <c r="AR203" s="257">
        <v>152802</v>
      </c>
      <c r="AS203" s="257">
        <v>260825</v>
      </c>
      <c r="AT203" s="257">
        <v>942749</v>
      </c>
      <c r="AU203" s="257">
        <v>316773</v>
      </c>
      <c r="AV203" s="257">
        <v>738193</v>
      </c>
      <c r="AW203" s="257">
        <v>1169921</v>
      </c>
      <c r="AX203" s="257">
        <v>2121443</v>
      </c>
      <c r="AY203" s="257">
        <v>950713</v>
      </c>
      <c r="AZ203" s="257">
        <v>1973356</v>
      </c>
      <c r="BA203" s="257">
        <v>3250948</v>
      </c>
      <c r="BB203" s="257">
        <v>3916213</v>
      </c>
      <c r="BC203" s="257">
        <v>1519843</v>
      </c>
      <c r="BD203" s="257">
        <v>2701032</v>
      </c>
      <c r="BE203" s="257">
        <v>4933356</v>
      </c>
      <c r="BF203" s="257">
        <v>7155862</v>
      </c>
    </row>
    <row r="204" spans="1:61" x14ac:dyDescent="0.3">
      <c r="A204" s="255" t="s">
        <v>968</v>
      </c>
      <c r="B204" s="257">
        <v>5715</v>
      </c>
      <c r="C204" s="257">
        <v>6167</v>
      </c>
      <c r="D204" s="257">
        <v>12444</v>
      </c>
      <c r="E204" s="257">
        <v>18648</v>
      </c>
      <c r="F204" s="257">
        <v>52497</v>
      </c>
      <c r="G204" s="257">
        <v>60490</v>
      </c>
      <c r="H204" s="257">
        <v>110034</v>
      </c>
      <c r="I204" s="257">
        <v>178336</v>
      </c>
      <c r="J204" s="257">
        <v>226078</v>
      </c>
      <c r="K204" s="257">
        <v>29776</v>
      </c>
      <c r="L204" s="257">
        <v>82897</v>
      </c>
      <c r="M204" s="257">
        <v>113812</v>
      </c>
      <c r="N204" s="257">
        <v>126618</v>
      </c>
      <c r="O204" s="257">
        <v>4827</v>
      </c>
      <c r="P204" s="257">
        <v>30823</v>
      </c>
      <c r="Q204" s="257">
        <v>33869</v>
      </c>
      <c r="R204" s="257">
        <v>44066</v>
      </c>
      <c r="S204" s="257">
        <v>-7110</v>
      </c>
      <c r="T204" s="257">
        <v>-8747</v>
      </c>
      <c r="U204" s="257">
        <v>12112</v>
      </c>
      <c r="V204" s="257">
        <v>15872</v>
      </c>
      <c r="W204" s="257">
        <v>-15804</v>
      </c>
      <c r="X204" s="257">
        <v>-27931</v>
      </c>
      <c r="Y204" s="257">
        <v>1180</v>
      </c>
      <c r="Z204" s="257">
        <v>20680</v>
      </c>
      <c r="AA204" s="257">
        <v>-22219</v>
      </c>
      <c r="AB204" s="257">
        <v>-58096</v>
      </c>
      <c r="AC204" s="257">
        <v>51898</v>
      </c>
      <c r="AD204" s="257">
        <v>-6133</v>
      </c>
      <c r="AE204" s="257">
        <v>21602</v>
      </c>
      <c r="AF204" s="257">
        <v>32294</v>
      </c>
      <c r="AG204" s="257">
        <v>46518</v>
      </c>
      <c r="AH204" s="257">
        <v>-13775</v>
      </c>
      <c r="AI204" s="257">
        <v>4493</v>
      </c>
      <c r="AJ204" s="257">
        <v>16670</v>
      </c>
      <c r="AK204" s="257">
        <v>45811</v>
      </c>
      <c r="AL204" s="257">
        <v>71077</v>
      </c>
      <c r="AM204" s="257">
        <v>-70133</v>
      </c>
      <c r="AN204" s="257">
        <v>-151793</v>
      </c>
      <c r="AO204" s="257">
        <v>-320671</v>
      </c>
      <c r="AP204" s="257">
        <v>-337254</v>
      </c>
      <c r="AQ204" s="257">
        <v>-103483</v>
      </c>
      <c r="AR204" s="257">
        <v>-328127</v>
      </c>
      <c r="AS204" s="257">
        <v>-510308</v>
      </c>
      <c r="AT204" s="257">
        <v>-458669</v>
      </c>
      <c r="AU204" s="257">
        <v>-362048</v>
      </c>
      <c r="AV204" s="257">
        <v>-221627</v>
      </c>
      <c r="AW204" s="257">
        <v>-485934</v>
      </c>
      <c r="AX204" s="257">
        <v>-622322</v>
      </c>
      <c r="AY204" s="257">
        <v>-45470</v>
      </c>
      <c r="AZ204" s="257">
        <v>-237368</v>
      </c>
      <c r="BA204" s="257">
        <v>-268566</v>
      </c>
      <c r="BB204" s="257">
        <v>-254393</v>
      </c>
      <c r="BC204" s="257">
        <v>-264290</v>
      </c>
      <c r="BD204" s="257">
        <v>-605344</v>
      </c>
      <c r="BE204" s="257">
        <v>-717441</v>
      </c>
      <c r="BF204" s="257">
        <v>-1051190</v>
      </c>
    </row>
    <row r="205" spans="1:61" x14ac:dyDescent="0.3">
      <c r="A205" s="258" t="s">
        <v>969</v>
      </c>
      <c r="B205" s="259">
        <v>5770</v>
      </c>
      <c r="C205" s="259">
        <v>6907</v>
      </c>
      <c r="D205" s="259">
        <v>13492</v>
      </c>
      <c r="E205" s="259">
        <v>20053</v>
      </c>
      <c r="F205" s="259">
        <v>67496</v>
      </c>
      <c r="G205" s="259">
        <v>66099</v>
      </c>
      <c r="H205" s="259">
        <v>128136</v>
      </c>
      <c r="I205" s="259">
        <v>199956</v>
      </c>
      <c r="J205" s="259">
        <v>246512</v>
      </c>
      <c r="K205" s="259">
        <v>41833</v>
      </c>
      <c r="L205" s="259">
        <v>99984</v>
      </c>
      <c r="M205" s="259">
        <v>129823</v>
      </c>
      <c r="N205" s="259">
        <v>148100</v>
      </c>
      <c r="O205" s="259">
        <v>17718</v>
      </c>
      <c r="P205" s="259">
        <v>71898</v>
      </c>
      <c r="Q205" s="259">
        <v>107020</v>
      </c>
      <c r="R205" s="259">
        <v>134233</v>
      </c>
      <c r="S205" s="259">
        <v>10710</v>
      </c>
      <c r="T205" s="259">
        <v>22828</v>
      </c>
      <c r="U205" s="259">
        <v>52063</v>
      </c>
      <c r="V205" s="259">
        <v>81445</v>
      </c>
      <c r="W205" s="259">
        <v>59949</v>
      </c>
      <c r="X205" s="259">
        <v>115076</v>
      </c>
      <c r="Y205" s="259">
        <v>277886</v>
      </c>
      <c r="Z205" s="259">
        <v>332553</v>
      </c>
      <c r="AA205" s="259">
        <v>89896</v>
      </c>
      <c r="AB205" s="259">
        <v>176318</v>
      </c>
      <c r="AC205" s="259">
        <v>296028</v>
      </c>
      <c r="AD205" s="259">
        <v>313817</v>
      </c>
      <c r="AE205" s="259">
        <v>68333</v>
      </c>
      <c r="AF205" s="259">
        <v>100258</v>
      </c>
      <c r="AG205" s="259">
        <v>165016</v>
      </c>
      <c r="AH205" s="259">
        <v>171756</v>
      </c>
      <c r="AI205" s="259">
        <v>49311</v>
      </c>
      <c r="AJ205" s="259">
        <v>134176</v>
      </c>
      <c r="AK205" s="259">
        <v>246039</v>
      </c>
      <c r="AL205" s="259">
        <v>313524</v>
      </c>
      <c r="AM205" s="259">
        <v>60886</v>
      </c>
      <c r="AN205" s="259">
        <v>129877</v>
      </c>
      <c r="AO205" s="259">
        <v>199651</v>
      </c>
      <c r="AP205" s="259">
        <v>377142</v>
      </c>
      <c r="AQ205" s="259">
        <v>654267</v>
      </c>
      <c r="AR205" s="259">
        <v>759345</v>
      </c>
      <c r="AS205" s="259">
        <v>1034843</v>
      </c>
      <c r="AT205" s="259">
        <v>1469151</v>
      </c>
      <c r="AU205" s="259">
        <v>54154</v>
      </c>
      <c r="AV205" s="259">
        <v>573458</v>
      </c>
      <c r="AW205" s="259">
        <v>790761</v>
      </c>
      <c r="AX205" s="259">
        <v>946536</v>
      </c>
      <c r="AY205" s="259">
        <v>312508</v>
      </c>
      <c r="AZ205" s="259">
        <v>68617</v>
      </c>
      <c r="BA205" s="259">
        <v>224880</v>
      </c>
      <c r="BB205" s="259">
        <v>278680</v>
      </c>
      <c r="BC205" s="259">
        <v>292006</v>
      </c>
      <c r="BD205" s="259">
        <v>1062704</v>
      </c>
      <c r="BE205" s="259">
        <v>775842</v>
      </c>
      <c r="BF205" s="259">
        <v>1525252</v>
      </c>
    </row>
    <row r="206" spans="1:61" x14ac:dyDescent="0.3">
      <c r="A206" s="258" t="s">
        <v>970</v>
      </c>
      <c r="B206" s="259">
        <v>55</v>
      </c>
      <c r="C206" s="259">
        <v>740</v>
      </c>
      <c r="D206" s="259">
        <v>1048</v>
      </c>
      <c r="E206" s="259">
        <v>1405</v>
      </c>
      <c r="F206" s="259">
        <v>14999</v>
      </c>
      <c r="G206" s="259">
        <v>5609</v>
      </c>
      <c r="H206" s="259">
        <v>18102</v>
      </c>
      <c r="I206" s="259">
        <v>21620</v>
      </c>
      <c r="J206" s="259">
        <v>20434</v>
      </c>
      <c r="K206" s="259">
        <v>12057</v>
      </c>
      <c r="L206" s="259">
        <v>17087</v>
      </c>
      <c r="M206" s="259">
        <v>16011</v>
      </c>
      <c r="N206" s="259">
        <v>21482</v>
      </c>
      <c r="O206" s="259">
        <v>12891</v>
      </c>
      <c r="P206" s="259">
        <v>41075</v>
      </c>
      <c r="Q206" s="259">
        <v>73151</v>
      </c>
      <c r="R206" s="259">
        <v>90167</v>
      </c>
      <c r="S206" s="259">
        <v>17820</v>
      </c>
      <c r="T206" s="259">
        <v>31575</v>
      </c>
      <c r="U206" s="259">
        <v>39951</v>
      </c>
      <c r="V206" s="259">
        <v>65573</v>
      </c>
      <c r="W206" s="259">
        <v>75753</v>
      </c>
      <c r="X206" s="259">
        <v>143007</v>
      </c>
      <c r="Y206" s="259">
        <v>276706</v>
      </c>
      <c r="Z206" s="259">
        <v>311873</v>
      </c>
      <c r="AA206" s="259">
        <v>112115</v>
      </c>
      <c r="AB206" s="259">
        <v>234414</v>
      </c>
      <c r="AC206" s="259">
        <v>244130</v>
      </c>
      <c r="AD206" s="259">
        <v>319950</v>
      </c>
      <c r="AE206" s="259">
        <v>46731</v>
      </c>
      <c r="AF206" s="259">
        <v>67964</v>
      </c>
      <c r="AG206" s="259">
        <v>118498</v>
      </c>
      <c r="AH206" s="259">
        <v>185531</v>
      </c>
      <c r="AI206" s="259">
        <v>44818</v>
      </c>
      <c r="AJ206" s="259">
        <v>117506</v>
      </c>
      <c r="AK206" s="259">
        <v>200228</v>
      </c>
      <c r="AL206" s="259">
        <v>242447</v>
      </c>
      <c r="AM206" s="259">
        <v>131019</v>
      </c>
      <c r="AN206" s="259">
        <v>281670</v>
      </c>
      <c r="AO206" s="259">
        <v>520322</v>
      </c>
      <c r="AP206" s="259">
        <v>714396</v>
      </c>
      <c r="AQ206" s="259">
        <v>757750</v>
      </c>
      <c r="AR206" s="259">
        <v>1087472</v>
      </c>
      <c r="AS206" s="259">
        <v>1545151</v>
      </c>
      <c r="AT206" s="259">
        <v>1927820</v>
      </c>
      <c r="AU206" s="259">
        <v>416202</v>
      </c>
      <c r="AV206" s="259">
        <v>795085</v>
      </c>
      <c r="AW206" s="259">
        <v>1276695</v>
      </c>
      <c r="AX206" s="259">
        <v>1568858</v>
      </c>
      <c r="AY206" s="259">
        <v>357978</v>
      </c>
      <c r="AZ206" s="259">
        <v>305985</v>
      </c>
      <c r="BA206" s="259">
        <v>493446</v>
      </c>
      <c r="BB206" s="259">
        <v>558099</v>
      </c>
      <c r="BC206" s="259">
        <v>556296</v>
      </c>
      <c r="BD206" s="259">
        <v>1668048</v>
      </c>
      <c r="BE206" s="259">
        <v>1493283</v>
      </c>
      <c r="BF206" s="259">
        <v>2576442</v>
      </c>
    </row>
    <row r="207" spans="1:61" x14ac:dyDescent="0.3">
      <c r="A207" s="255" t="s">
        <v>971</v>
      </c>
      <c r="B207" s="257">
        <v>-11310</v>
      </c>
      <c r="C207" s="257">
        <v>-18809</v>
      </c>
      <c r="D207" s="257">
        <v>-36985</v>
      </c>
      <c r="E207" s="257">
        <v>-66968</v>
      </c>
      <c r="F207" s="257">
        <v>-138985</v>
      </c>
      <c r="G207" s="257">
        <v>-6608</v>
      </c>
      <c r="H207" s="257">
        <v>-54516</v>
      </c>
      <c r="I207" s="257">
        <v>-151923</v>
      </c>
      <c r="J207" s="257">
        <v>-280819</v>
      </c>
      <c r="K207" s="257">
        <v>-105715</v>
      </c>
      <c r="L207" s="257">
        <v>11716</v>
      </c>
      <c r="M207" s="257">
        <v>-127234</v>
      </c>
      <c r="N207" s="257">
        <v>-277566</v>
      </c>
      <c r="O207" s="257">
        <v>-99181</v>
      </c>
      <c r="P207" s="257">
        <v>-644183</v>
      </c>
      <c r="Q207" s="257">
        <v>-1459542</v>
      </c>
      <c r="R207" s="257">
        <v>-2561162</v>
      </c>
      <c r="S207" s="257">
        <v>3244</v>
      </c>
      <c r="T207" s="257">
        <v>12485</v>
      </c>
      <c r="U207" s="257">
        <v>30396</v>
      </c>
      <c r="V207" s="257">
        <v>-1052003</v>
      </c>
      <c r="W207" s="257">
        <v>-54002</v>
      </c>
      <c r="X207" s="257">
        <v>-72395</v>
      </c>
      <c r="Y207" s="257">
        <v>-75064</v>
      </c>
      <c r="Z207" s="257">
        <v>104894</v>
      </c>
      <c r="AA207" s="257">
        <v>-65027</v>
      </c>
      <c r="AB207" s="257">
        <v>-116385</v>
      </c>
      <c r="AC207" s="257">
        <v>-22497</v>
      </c>
      <c r="AD207" s="257">
        <v>252951</v>
      </c>
      <c r="AE207" s="257">
        <v>9323</v>
      </c>
      <c r="AF207" s="257">
        <v>58699</v>
      </c>
      <c r="AG207" s="257">
        <v>72417</v>
      </c>
      <c r="AH207" s="257">
        <v>28434</v>
      </c>
      <c r="AI207" s="257">
        <v>2378</v>
      </c>
      <c r="AJ207" s="257">
        <v>73264</v>
      </c>
      <c r="AK207" s="257">
        <v>170476</v>
      </c>
      <c r="AL207" s="257">
        <v>241377</v>
      </c>
      <c r="AM207" s="257">
        <v>-48917</v>
      </c>
      <c r="AN207" s="257">
        <v>82305</v>
      </c>
      <c r="AO207" s="257">
        <v>-88884</v>
      </c>
      <c r="AP207" s="257">
        <v>541002</v>
      </c>
      <c r="AQ207" s="257">
        <v>-52571</v>
      </c>
      <c r="AR207" s="257">
        <v>-175325</v>
      </c>
      <c r="AS207" s="257">
        <v>-249483</v>
      </c>
      <c r="AT207" s="257">
        <v>484080</v>
      </c>
      <c r="AU207" s="257">
        <v>-45275</v>
      </c>
      <c r="AV207" s="257">
        <v>516566</v>
      </c>
      <c r="AW207" s="257">
        <v>683987</v>
      </c>
      <c r="AX207" s="257">
        <v>1499121</v>
      </c>
      <c r="AY207" s="257">
        <v>905243</v>
      </c>
      <c r="AZ207" s="257">
        <v>1735988</v>
      </c>
      <c r="BA207" s="257">
        <v>2982382</v>
      </c>
      <c r="BB207" s="257">
        <v>3661820</v>
      </c>
      <c r="BC207" s="257">
        <v>1255553</v>
      </c>
      <c r="BD207" s="257">
        <v>2095688</v>
      </c>
      <c r="BE207" s="257">
        <v>4215915</v>
      </c>
      <c r="BF207" s="257">
        <v>6104672</v>
      </c>
    </row>
    <row r="208" spans="1:61" x14ac:dyDescent="0.3">
      <c r="A208" s="255" t="s">
        <v>972</v>
      </c>
      <c r="B208" s="257">
        <v>1325</v>
      </c>
      <c r="C208" s="257">
        <v>530</v>
      </c>
      <c r="D208" s="257">
        <v>1629</v>
      </c>
      <c r="E208" s="257">
        <v>2684</v>
      </c>
      <c r="F208" s="257">
        <v>3385</v>
      </c>
      <c r="G208" s="257">
        <v>7244</v>
      </c>
      <c r="H208" s="257">
        <v>12505</v>
      </c>
      <c r="I208" s="257">
        <v>16424</v>
      </c>
      <c r="J208" s="257">
        <v>23216</v>
      </c>
      <c r="K208" s="257">
        <v>27515</v>
      </c>
      <c r="L208" s="257">
        <v>9034</v>
      </c>
      <c r="M208" s="257">
        <v>10285</v>
      </c>
      <c r="N208" s="257">
        <v>0</v>
      </c>
      <c r="O208" s="257">
        <v>0</v>
      </c>
      <c r="P208" s="257">
        <v>1056</v>
      </c>
      <c r="Q208" s="257">
        <v>-90059</v>
      </c>
      <c r="R208" s="257">
        <v>-323292</v>
      </c>
      <c r="S208" s="257">
        <v>1545</v>
      </c>
      <c r="T208" s="257">
        <v>1043</v>
      </c>
      <c r="U208" s="257">
        <v>5107</v>
      </c>
      <c r="V208" s="257">
        <v>-53241</v>
      </c>
      <c r="W208" s="257">
        <v>-463</v>
      </c>
      <c r="X208" s="257">
        <v>-2621</v>
      </c>
      <c r="Y208" s="257">
        <v>-5311</v>
      </c>
      <c r="Z208" s="257">
        <v>-5527</v>
      </c>
      <c r="AA208" s="257">
        <v>360</v>
      </c>
      <c r="AB208" s="257">
        <v>24</v>
      </c>
      <c r="AC208" s="257">
        <v>22441</v>
      </c>
      <c r="AD208" s="257">
        <v>11329</v>
      </c>
      <c r="AE208" s="257">
        <v>5304</v>
      </c>
      <c r="AF208" s="257">
        <v>7574</v>
      </c>
      <c r="AG208" s="257">
        <v>4910</v>
      </c>
      <c r="AH208" s="257">
        <v>-2193</v>
      </c>
      <c r="AI208" s="257">
        <v>-316</v>
      </c>
      <c r="AJ208" s="257">
        <v>10</v>
      </c>
      <c r="AK208" s="257">
        <v>25764</v>
      </c>
      <c r="AL208" s="257">
        <v>36502</v>
      </c>
      <c r="AM208" s="257">
        <v>4761</v>
      </c>
      <c r="AN208" s="257">
        <v>40447</v>
      </c>
      <c r="AO208" s="257">
        <v>-136680</v>
      </c>
      <c r="AP208" s="257">
        <v>-301344</v>
      </c>
      <c r="AQ208" s="257">
        <v>8890</v>
      </c>
      <c r="AR208" s="257">
        <v>-14062</v>
      </c>
      <c r="AS208" s="257">
        <v>22378</v>
      </c>
      <c r="AT208" s="257">
        <v>31167</v>
      </c>
      <c r="AU208" s="257">
        <v>20517</v>
      </c>
      <c r="AV208" s="257">
        <v>161456</v>
      </c>
      <c r="AW208" s="257">
        <v>231773</v>
      </c>
      <c r="AX208" s="257">
        <v>166075</v>
      </c>
      <c r="AY208" s="257">
        <v>-163727</v>
      </c>
      <c r="AZ208" s="257">
        <v>27938</v>
      </c>
      <c r="BA208" s="257">
        <v>482018</v>
      </c>
      <c r="BB208" s="257">
        <v>234748</v>
      </c>
      <c r="BC208" s="257">
        <v>93488</v>
      </c>
      <c r="BD208" s="257">
        <v>92654</v>
      </c>
      <c r="BE208" s="257">
        <v>584057</v>
      </c>
      <c r="BF208" s="257">
        <v>924767</v>
      </c>
    </row>
    <row r="209" spans="1:58" x14ac:dyDescent="0.3">
      <c r="A209" s="258" t="s">
        <v>973</v>
      </c>
      <c r="B209" s="259">
        <v>0</v>
      </c>
      <c r="C209" s="259">
        <v>530</v>
      </c>
      <c r="D209" s="259">
        <v>1629</v>
      </c>
      <c r="E209" s="259">
        <v>2684</v>
      </c>
      <c r="F209" s="259">
        <v>3385</v>
      </c>
      <c r="G209" s="259">
        <v>10351</v>
      </c>
      <c r="H209" s="259">
        <v>17854</v>
      </c>
      <c r="I209" s="259">
        <v>23465</v>
      </c>
      <c r="J209" s="259">
        <v>31959</v>
      </c>
      <c r="K209" s="259">
        <v>39313</v>
      </c>
      <c r="L209" s="264" t="s">
        <v>792</v>
      </c>
      <c r="M209" s="259">
        <v>14694</v>
      </c>
      <c r="N209" s="259">
        <v>0</v>
      </c>
      <c r="O209" s="259">
        <v>0</v>
      </c>
      <c r="P209" s="259">
        <v>1514</v>
      </c>
      <c r="Q209" s="259">
        <v>0</v>
      </c>
      <c r="R209" s="259">
        <v>3972</v>
      </c>
      <c r="S209" s="259">
        <v>1545</v>
      </c>
      <c r="T209" s="259">
        <v>1503</v>
      </c>
      <c r="U209" s="259">
        <v>5107</v>
      </c>
      <c r="V209" s="259">
        <v>13287</v>
      </c>
      <c r="W209" s="259">
        <v>882</v>
      </c>
      <c r="X209" s="259">
        <v>16</v>
      </c>
      <c r="Y209" s="259">
        <v>22</v>
      </c>
      <c r="Z209" s="259">
        <v>-124</v>
      </c>
      <c r="AA209" s="259">
        <v>0</v>
      </c>
      <c r="AB209" s="259">
        <v>0</v>
      </c>
      <c r="AC209" s="259">
        <v>0</v>
      </c>
      <c r="AD209" s="259">
        <v>4639</v>
      </c>
      <c r="AE209" s="259">
        <v>650</v>
      </c>
      <c r="AF209" s="259">
        <v>4051</v>
      </c>
      <c r="AG209" s="259">
        <v>1982</v>
      </c>
      <c r="AH209" s="259">
        <v>2545</v>
      </c>
      <c r="AI209" s="259">
        <v>8975</v>
      </c>
      <c r="AJ209" s="259">
        <v>10849</v>
      </c>
      <c r="AK209" s="259">
        <v>36482</v>
      </c>
      <c r="AL209" s="259">
        <v>42969</v>
      </c>
      <c r="AM209" s="259">
        <v>5398</v>
      </c>
      <c r="AN209" s="259">
        <v>42105</v>
      </c>
      <c r="AO209" s="259">
        <v>42680</v>
      </c>
      <c r="AP209" s="259">
        <v>55658</v>
      </c>
      <c r="AQ209" s="259">
        <v>12142</v>
      </c>
      <c r="AR209" s="259">
        <v>14775</v>
      </c>
      <c r="AS209" s="259">
        <v>24534</v>
      </c>
      <c r="AT209" s="259">
        <v>77140</v>
      </c>
      <c r="AU209" s="259">
        <v>79573</v>
      </c>
      <c r="AV209" s="259">
        <v>139537</v>
      </c>
      <c r="AW209" s="259">
        <v>234090</v>
      </c>
      <c r="AX209" s="259">
        <v>344812</v>
      </c>
      <c r="AY209" s="259">
        <v>115251</v>
      </c>
      <c r="AZ209" s="259">
        <v>313233</v>
      </c>
      <c r="BA209" s="259">
        <v>568781</v>
      </c>
      <c r="BB209" s="259">
        <v>545460</v>
      </c>
      <c r="BC209" s="259">
        <v>124073</v>
      </c>
      <c r="BD209" s="259">
        <v>233000</v>
      </c>
      <c r="BE209" s="259">
        <v>420700</v>
      </c>
      <c r="BF209" s="259">
        <v>683641</v>
      </c>
    </row>
    <row r="210" spans="1:58" x14ac:dyDescent="0.3">
      <c r="A210" s="258" t="s">
        <v>974</v>
      </c>
      <c r="B210" s="259">
        <v>1325</v>
      </c>
      <c r="C210" s="259">
        <v>0</v>
      </c>
      <c r="D210" s="259">
        <v>0</v>
      </c>
      <c r="E210" s="259">
        <v>0</v>
      </c>
      <c r="F210" s="259">
        <v>0</v>
      </c>
      <c r="G210" s="259">
        <v>-3107</v>
      </c>
      <c r="H210" s="259">
        <v>-5349</v>
      </c>
      <c r="I210" s="259">
        <v>-7041</v>
      </c>
      <c r="J210" s="259">
        <v>-8743</v>
      </c>
      <c r="K210" s="259">
        <v>-11798</v>
      </c>
      <c r="L210" s="264" t="s">
        <v>792</v>
      </c>
      <c r="M210" s="259">
        <v>-4409</v>
      </c>
      <c r="N210" s="259">
        <v>0</v>
      </c>
      <c r="O210" s="259">
        <v>0</v>
      </c>
      <c r="P210" s="259">
        <v>-458</v>
      </c>
      <c r="Q210" s="259">
        <v>-90059</v>
      </c>
      <c r="R210" s="259">
        <v>-327264</v>
      </c>
      <c r="S210" s="259">
        <v>0</v>
      </c>
      <c r="T210" s="259">
        <v>-460</v>
      </c>
      <c r="U210" s="259">
        <v>0</v>
      </c>
      <c r="V210" s="259">
        <v>-66528</v>
      </c>
      <c r="W210" s="259">
        <v>-1345</v>
      </c>
      <c r="X210" s="259">
        <v>-2637</v>
      </c>
      <c r="Y210" s="259">
        <v>-5333</v>
      </c>
      <c r="Z210" s="259">
        <v>-5403</v>
      </c>
      <c r="AA210" s="259">
        <v>360</v>
      </c>
      <c r="AB210" s="259">
        <v>24</v>
      </c>
      <c r="AC210" s="259">
        <v>22441</v>
      </c>
      <c r="AD210" s="259">
        <v>6690</v>
      </c>
      <c r="AE210" s="259">
        <v>4654</v>
      </c>
      <c r="AF210" s="259">
        <v>3523</v>
      </c>
      <c r="AG210" s="259">
        <v>2928</v>
      </c>
      <c r="AH210" s="259">
        <v>-4738</v>
      </c>
      <c r="AI210" s="259">
        <v>-9291</v>
      </c>
      <c r="AJ210" s="259">
        <v>-10839</v>
      </c>
      <c r="AK210" s="259">
        <v>-10718</v>
      </c>
      <c r="AL210" s="259">
        <v>-6467</v>
      </c>
      <c r="AM210" s="259">
        <v>-637</v>
      </c>
      <c r="AN210" s="259">
        <v>-1658</v>
      </c>
      <c r="AO210" s="259">
        <v>-179360</v>
      </c>
      <c r="AP210" s="259">
        <v>-357002</v>
      </c>
      <c r="AQ210" s="259">
        <v>-3252</v>
      </c>
      <c r="AR210" s="259">
        <v>-28837</v>
      </c>
      <c r="AS210" s="259">
        <v>-2156</v>
      </c>
      <c r="AT210" s="259">
        <v>-45973</v>
      </c>
      <c r="AU210" s="259">
        <v>-59056</v>
      </c>
      <c r="AV210" s="259">
        <v>21919</v>
      </c>
      <c r="AW210" s="259">
        <v>-2317</v>
      </c>
      <c r="AX210" s="259">
        <v>-178737</v>
      </c>
      <c r="AY210" s="259">
        <v>-278978</v>
      </c>
      <c r="AZ210" s="259">
        <v>-285295</v>
      </c>
      <c r="BA210" s="259">
        <v>-86763</v>
      </c>
      <c r="BB210" s="259">
        <v>-310712</v>
      </c>
      <c r="BC210" s="259">
        <v>-30585</v>
      </c>
      <c r="BD210" s="259">
        <v>-140346</v>
      </c>
      <c r="BE210" s="259">
        <v>163357</v>
      </c>
      <c r="BF210" s="259">
        <v>241126</v>
      </c>
    </row>
    <row r="211" spans="1:58" x14ac:dyDescent="0.3">
      <c r="A211" s="255" t="s">
        <v>975</v>
      </c>
      <c r="B211" s="257">
        <v>-12635</v>
      </c>
      <c r="C211" s="257">
        <v>-19339</v>
      </c>
      <c r="D211" s="257">
        <v>-38614</v>
      </c>
      <c r="E211" s="257">
        <v>-69652</v>
      </c>
      <c r="F211" s="257">
        <v>-142370</v>
      </c>
      <c r="G211" s="257">
        <v>-13852</v>
      </c>
      <c r="H211" s="257">
        <v>-67021</v>
      </c>
      <c r="I211" s="257">
        <v>-168347</v>
      </c>
      <c r="J211" s="257">
        <v>-304035</v>
      </c>
      <c r="K211" s="257">
        <v>-133230</v>
      </c>
      <c r="L211" s="257">
        <v>2682</v>
      </c>
      <c r="M211" s="257">
        <v>-137519</v>
      </c>
      <c r="N211" s="257">
        <v>-277566</v>
      </c>
      <c r="O211" s="257">
        <v>-99181</v>
      </c>
      <c r="P211" s="257">
        <v>-645239</v>
      </c>
      <c r="Q211" s="257">
        <v>-1369483</v>
      </c>
      <c r="R211" s="257">
        <v>-2237870</v>
      </c>
      <c r="S211" s="257">
        <v>1699</v>
      </c>
      <c r="T211" s="257">
        <v>11442</v>
      </c>
      <c r="U211" s="257">
        <v>25289</v>
      </c>
      <c r="V211" s="257">
        <v>-998762</v>
      </c>
      <c r="W211" s="257">
        <v>-53539</v>
      </c>
      <c r="X211" s="257">
        <v>-69774</v>
      </c>
      <c r="Y211" s="257">
        <v>-69753</v>
      </c>
      <c r="Z211" s="257">
        <v>110421</v>
      </c>
      <c r="AA211" s="257">
        <v>-65387</v>
      </c>
      <c r="AB211" s="257">
        <v>-116409</v>
      </c>
      <c r="AC211" s="257">
        <v>-44938</v>
      </c>
      <c r="AD211" s="257">
        <v>241622</v>
      </c>
      <c r="AE211" s="257">
        <v>4019</v>
      </c>
      <c r="AF211" s="257">
        <v>51125</v>
      </c>
      <c r="AG211" s="257">
        <v>67507</v>
      </c>
      <c r="AH211" s="257">
        <v>30627</v>
      </c>
      <c r="AI211" s="257">
        <v>2694</v>
      </c>
      <c r="AJ211" s="257">
        <v>73254</v>
      </c>
      <c r="AK211" s="257">
        <v>144712</v>
      </c>
      <c r="AL211" s="257">
        <v>204875</v>
      </c>
      <c r="AM211" s="257">
        <v>-53678</v>
      </c>
      <c r="AN211" s="257">
        <v>41858</v>
      </c>
      <c r="AO211" s="257">
        <v>47796</v>
      </c>
      <c r="AP211" s="257">
        <v>842346</v>
      </c>
      <c r="AQ211" s="257">
        <v>-61461</v>
      </c>
      <c r="AR211" s="257">
        <v>-161263</v>
      </c>
      <c r="AS211" s="257">
        <v>-271861</v>
      </c>
      <c r="AT211" s="257">
        <v>452913</v>
      </c>
      <c r="AU211" s="257">
        <v>-65792</v>
      </c>
      <c r="AV211" s="257">
        <v>355110</v>
      </c>
      <c r="AW211" s="257">
        <v>452214</v>
      </c>
      <c r="AX211" s="257">
        <v>1333046</v>
      </c>
      <c r="AY211" s="257">
        <v>1068970</v>
      </c>
      <c r="AZ211" s="257">
        <v>1708050</v>
      </c>
      <c r="BA211" s="257">
        <v>2500364</v>
      </c>
      <c r="BB211" s="257">
        <v>3427072</v>
      </c>
      <c r="BC211" s="257">
        <v>1162065</v>
      </c>
      <c r="BD211" s="257">
        <v>2003034</v>
      </c>
      <c r="BE211" s="257">
        <v>3631858</v>
      </c>
      <c r="BF211" s="257">
        <v>5179905</v>
      </c>
    </row>
    <row r="212" spans="1:58" x14ac:dyDescent="0.3">
      <c r="A212" s="255" t="s">
        <v>976</v>
      </c>
      <c r="B212" s="256" t="s">
        <v>792</v>
      </c>
      <c r="C212" s="257">
        <v>0</v>
      </c>
      <c r="D212" s="257">
        <v>0</v>
      </c>
      <c r="E212" s="257">
        <v>0</v>
      </c>
      <c r="F212" s="257">
        <v>0</v>
      </c>
      <c r="G212" s="257">
        <v>0</v>
      </c>
      <c r="H212" s="257">
        <v>0</v>
      </c>
      <c r="I212" s="257">
        <v>0</v>
      </c>
      <c r="J212" s="257">
        <v>0</v>
      </c>
      <c r="K212" s="257">
        <v>186515</v>
      </c>
      <c r="L212" s="257">
        <v>0</v>
      </c>
      <c r="M212" s="257">
        <v>0</v>
      </c>
      <c r="N212" s="257">
        <v>0</v>
      </c>
      <c r="O212" s="257">
        <v>0</v>
      </c>
      <c r="P212" s="257">
        <v>0</v>
      </c>
      <c r="Q212" s="257">
        <v>0</v>
      </c>
      <c r="R212" s="257">
        <v>0</v>
      </c>
      <c r="S212" s="257">
        <v>0</v>
      </c>
      <c r="T212" s="257">
        <v>0</v>
      </c>
      <c r="U212" s="257">
        <v>-4311</v>
      </c>
      <c r="V212" s="257">
        <v>-4311</v>
      </c>
      <c r="W212" s="257">
        <v>0</v>
      </c>
      <c r="X212" s="257">
        <v>0</v>
      </c>
      <c r="Y212" s="257">
        <v>0</v>
      </c>
      <c r="Z212" s="257">
        <v>0</v>
      </c>
      <c r="AA212" s="257">
        <v>0</v>
      </c>
      <c r="AB212" s="257">
        <v>0</v>
      </c>
      <c r="AC212" s="257">
        <v>0</v>
      </c>
      <c r="AD212" s="257">
        <v>0</v>
      </c>
      <c r="AE212" s="257">
        <v>0</v>
      </c>
      <c r="AF212" s="257">
        <v>0</v>
      </c>
      <c r="AG212" s="257">
        <v>0</v>
      </c>
      <c r="AH212" s="257">
        <v>0</v>
      </c>
      <c r="AI212" s="257">
        <v>0</v>
      </c>
      <c r="AJ212" s="257">
        <v>0</v>
      </c>
      <c r="AK212" s="257">
        <v>0</v>
      </c>
      <c r="AL212" s="257">
        <v>0</v>
      </c>
      <c r="AM212" s="257">
        <v>0</v>
      </c>
      <c r="AN212" s="257">
        <v>0</v>
      </c>
      <c r="AO212" s="257">
        <v>0</v>
      </c>
      <c r="AP212" s="257">
        <v>0</v>
      </c>
      <c r="AQ212" s="257">
        <v>0</v>
      </c>
      <c r="AR212" s="257">
        <v>0</v>
      </c>
      <c r="AS212" s="257">
        <v>0</v>
      </c>
      <c r="AT212" s="257">
        <v>0</v>
      </c>
      <c r="AU212" s="257">
        <v>0</v>
      </c>
      <c r="AV212" s="257">
        <v>0</v>
      </c>
      <c r="AW212" s="257">
        <v>0</v>
      </c>
      <c r="AX212" s="257">
        <v>0</v>
      </c>
      <c r="AY212" s="257">
        <v>0</v>
      </c>
      <c r="AZ212" s="257">
        <v>0</v>
      </c>
      <c r="BA212" s="257">
        <v>0</v>
      </c>
      <c r="BB212" s="257">
        <v>0</v>
      </c>
      <c r="BC212" s="257">
        <v>0</v>
      </c>
      <c r="BD212" s="257">
        <v>0</v>
      </c>
      <c r="BE212" s="257">
        <v>0</v>
      </c>
      <c r="BF212" s="257">
        <v>0</v>
      </c>
    </row>
    <row r="213" spans="1:58" x14ac:dyDescent="0.3">
      <c r="A213" s="258" t="s">
        <v>977</v>
      </c>
      <c r="B213" s="264" t="s">
        <v>792</v>
      </c>
      <c r="C213" s="259">
        <v>0</v>
      </c>
      <c r="D213" s="259">
        <v>0</v>
      </c>
      <c r="E213" s="259">
        <v>0</v>
      </c>
      <c r="F213" s="259">
        <v>0</v>
      </c>
      <c r="G213" s="259">
        <v>0</v>
      </c>
      <c r="H213" s="259">
        <v>0</v>
      </c>
      <c r="I213" s="259">
        <v>0</v>
      </c>
      <c r="J213" s="259">
        <v>0</v>
      </c>
      <c r="K213" s="259">
        <v>0</v>
      </c>
      <c r="L213" s="259">
        <v>0</v>
      </c>
      <c r="M213" s="259">
        <v>0</v>
      </c>
      <c r="N213" s="259">
        <v>0</v>
      </c>
      <c r="O213" s="259">
        <v>0</v>
      </c>
      <c r="P213" s="259">
        <v>0</v>
      </c>
      <c r="Q213" s="259">
        <v>0</v>
      </c>
      <c r="R213" s="259">
        <v>0</v>
      </c>
      <c r="S213" s="259">
        <v>0</v>
      </c>
      <c r="T213" s="259">
        <v>0</v>
      </c>
      <c r="U213" s="259">
        <v>-4311</v>
      </c>
      <c r="V213" s="259">
        <v>-4311</v>
      </c>
      <c r="W213" s="259">
        <v>0</v>
      </c>
      <c r="X213" s="259">
        <v>0</v>
      </c>
      <c r="Y213" s="259">
        <v>0</v>
      </c>
      <c r="Z213" s="259">
        <v>0</v>
      </c>
      <c r="AA213" s="259">
        <v>0</v>
      </c>
      <c r="AB213" s="259">
        <v>0</v>
      </c>
      <c r="AC213" s="259">
        <v>0</v>
      </c>
      <c r="AD213" s="259">
        <v>0</v>
      </c>
      <c r="AE213" s="259">
        <v>0</v>
      </c>
      <c r="AF213" s="259">
        <v>0</v>
      </c>
      <c r="AG213" s="259">
        <v>0</v>
      </c>
      <c r="AH213" s="259">
        <v>0</v>
      </c>
      <c r="AI213" s="259">
        <v>0</v>
      </c>
      <c r="AJ213" s="259">
        <v>0</v>
      </c>
      <c r="AK213" s="259">
        <v>0</v>
      </c>
      <c r="AL213" s="259">
        <v>0</v>
      </c>
      <c r="AM213" s="259">
        <v>0</v>
      </c>
      <c r="AN213" s="259">
        <v>0</v>
      </c>
      <c r="AO213" s="259">
        <v>0</v>
      </c>
      <c r="AP213" s="259">
        <v>0</v>
      </c>
      <c r="AQ213" s="259">
        <v>0</v>
      </c>
      <c r="AR213" s="259">
        <v>0</v>
      </c>
      <c r="AS213" s="259">
        <v>0</v>
      </c>
      <c r="AT213" s="259">
        <v>0</v>
      </c>
      <c r="AU213" s="259">
        <v>0</v>
      </c>
      <c r="AV213" s="259">
        <v>0</v>
      </c>
      <c r="AW213" s="259">
        <v>0</v>
      </c>
      <c r="AX213" s="259">
        <v>0</v>
      </c>
      <c r="AY213" s="259">
        <v>0</v>
      </c>
      <c r="AZ213" s="259">
        <v>0</v>
      </c>
      <c r="BA213" s="259">
        <v>0</v>
      </c>
      <c r="BB213" s="259">
        <v>0</v>
      </c>
      <c r="BC213" s="259">
        <v>0</v>
      </c>
      <c r="BD213" s="259">
        <v>0</v>
      </c>
      <c r="BE213" s="259">
        <v>0</v>
      </c>
      <c r="BF213" s="259">
        <v>0</v>
      </c>
    </row>
    <row r="214" spans="1:58" x14ac:dyDescent="0.3">
      <c r="A214" s="258" t="s">
        <v>978</v>
      </c>
      <c r="B214" s="264" t="s">
        <v>792</v>
      </c>
      <c r="C214" s="259">
        <v>0</v>
      </c>
      <c r="D214" s="259">
        <v>0</v>
      </c>
      <c r="E214" s="259">
        <v>0</v>
      </c>
      <c r="F214" s="259">
        <v>0</v>
      </c>
      <c r="G214" s="259">
        <v>0</v>
      </c>
      <c r="H214" s="259">
        <v>0</v>
      </c>
      <c r="I214" s="259">
        <v>0</v>
      </c>
      <c r="J214" s="259">
        <v>0</v>
      </c>
      <c r="K214" s="259">
        <v>186515</v>
      </c>
      <c r="L214" s="259">
        <v>0</v>
      </c>
      <c r="M214" s="259">
        <v>0</v>
      </c>
      <c r="N214" s="259">
        <v>0</v>
      </c>
      <c r="O214" s="259">
        <v>0</v>
      </c>
      <c r="P214" s="259">
        <v>0</v>
      </c>
      <c r="Q214" s="259">
        <v>0</v>
      </c>
      <c r="R214" s="259">
        <v>0</v>
      </c>
      <c r="S214" s="259">
        <v>0</v>
      </c>
      <c r="T214" s="259">
        <v>0</v>
      </c>
      <c r="U214" s="259">
        <v>0</v>
      </c>
      <c r="V214" s="259">
        <v>0</v>
      </c>
      <c r="W214" s="259">
        <v>0</v>
      </c>
      <c r="X214" s="259">
        <v>0</v>
      </c>
      <c r="Y214" s="259">
        <v>0</v>
      </c>
      <c r="Z214" s="259">
        <v>0</v>
      </c>
      <c r="AA214" s="259">
        <v>0</v>
      </c>
      <c r="AB214" s="259">
        <v>0</v>
      </c>
      <c r="AC214" s="259">
        <v>0</v>
      </c>
      <c r="AD214" s="259">
        <v>0</v>
      </c>
      <c r="AE214" s="259">
        <v>0</v>
      </c>
      <c r="AF214" s="259">
        <v>0</v>
      </c>
      <c r="AG214" s="259">
        <v>0</v>
      </c>
      <c r="AH214" s="259">
        <v>0</v>
      </c>
      <c r="AI214" s="259">
        <v>0</v>
      </c>
      <c r="AJ214" s="259">
        <v>0</v>
      </c>
      <c r="AK214" s="259">
        <v>0</v>
      </c>
      <c r="AL214" s="259">
        <v>0</v>
      </c>
      <c r="AM214" s="259">
        <v>0</v>
      </c>
      <c r="AN214" s="259">
        <v>0</v>
      </c>
      <c r="AO214" s="259">
        <v>0</v>
      </c>
      <c r="AP214" s="259">
        <v>0</v>
      </c>
      <c r="AQ214" s="259">
        <v>0</v>
      </c>
      <c r="AR214" s="259">
        <v>0</v>
      </c>
      <c r="AS214" s="259">
        <v>0</v>
      </c>
      <c r="AT214" s="259">
        <v>0</v>
      </c>
      <c r="AU214" s="259">
        <v>0</v>
      </c>
      <c r="AV214" s="259">
        <v>0</v>
      </c>
      <c r="AW214" s="259">
        <v>0</v>
      </c>
      <c r="AX214" s="259">
        <v>0</v>
      </c>
      <c r="AY214" s="259">
        <v>0</v>
      </c>
      <c r="AZ214" s="259">
        <v>0</v>
      </c>
      <c r="BA214" s="259">
        <v>0</v>
      </c>
      <c r="BB214" s="259">
        <v>0</v>
      </c>
      <c r="BC214" s="259">
        <v>0</v>
      </c>
      <c r="BD214" s="259">
        <v>0</v>
      </c>
      <c r="BE214" s="259">
        <v>0</v>
      </c>
      <c r="BF214" s="259">
        <v>0</v>
      </c>
    </row>
    <row r="215" spans="1:58" x14ac:dyDescent="0.3">
      <c r="A215" s="255" t="s">
        <v>979</v>
      </c>
      <c r="B215" s="257">
        <v>-12635</v>
      </c>
      <c r="C215" s="257">
        <v>-19339</v>
      </c>
      <c r="D215" s="257">
        <v>-38614</v>
      </c>
      <c r="E215" s="257">
        <v>-69652</v>
      </c>
      <c r="F215" s="257">
        <v>-142370</v>
      </c>
      <c r="G215" s="257">
        <v>-13852</v>
      </c>
      <c r="H215" s="257">
        <v>-67021</v>
      </c>
      <c r="I215" s="257">
        <v>-168347</v>
      </c>
      <c r="J215" s="257">
        <v>-304035</v>
      </c>
      <c r="K215" s="257">
        <v>53285</v>
      </c>
      <c r="L215" s="257">
        <v>2682</v>
      </c>
      <c r="M215" s="257">
        <v>-137519</v>
      </c>
      <c r="N215" s="257">
        <v>-277566</v>
      </c>
      <c r="O215" s="257">
        <v>-99181</v>
      </c>
      <c r="P215" s="257">
        <v>-645239</v>
      </c>
      <c r="Q215" s="257">
        <v>-1369483</v>
      </c>
      <c r="R215" s="257">
        <v>-2237870</v>
      </c>
      <c r="S215" s="257">
        <v>1699</v>
      </c>
      <c r="T215" s="257">
        <v>11442</v>
      </c>
      <c r="U215" s="257">
        <v>20978</v>
      </c>
      <c r="V215" s="257">
        <v>-1003073</v>
      </c>
      <c r="W215" s="257">
        <v>-53539</v>
      </c>
      <c r="X215" s="257">
        <v>-69774</v>
      </c>
      <c r="Y215" s="257">
        <v>-69753</v>
      </c>
      <c r="Z215" s="257">
        <v>110421</v>
      </c>
      <c r="AA215" s="257">
        <v>-65387</v>
      </c>
      <c r="AB215" s="257">
        <v>-116409</v>
      </c>
      <c r="AC215" s="257">
        <v>-44938</v>
      </c>
      <c r="AD215" s="257">
        <v>241622</v>
      </c>
      <c r="AE215" s="257">
        <v>4019</v>
      </c>
      <c r="AF215" s="257">
        <v>51125</v>
      </c>
      <c r="AG215" s="257">
        <v>67507</v>
      </c>
      <c r="AH215" s="257">
        <v>30627</v>
      </c>
      <c r="AI215" s="257">
        <v>2694</v>
      </c>
      <c r="AJ215" s="257">
        <v>73254</v>
      </c>
      <c r="AK215" s="257">
        <v>144712</v>
      </c>
      <c r="AL215" s="257">
        <v>204875</v>
      </c>
      <c r="AM215" s="257">
        <v>-53678</v>
      </c>
      <c r="AN215" s="257">
        <v>41858</v>
      </c>
      <c r="AO215" s="257">
        <v>47796</v>
      </c>
      <c r="AP215" s="257">
        <v>842346</v>
      </c>
      <c r="AQ215" s="257">
        <v>-61461</v>
      </c>
      <c r="AR215" s="257">
        <v>-161263</v>
      </c>
      <c r="AS215" s="257">
        <v>-271861</v>
      </c>
      <c r="AT215" s="257">
        <v>452913</v>
      </c>
      <c r="AU215" s="257">
        <v>-65792</v>
      </c>
      <c r="AV215" s="257">
        <v>355110</v>
      </c>
      <c r="AW215" s="257">
        <v>452214</v>
      </c>
      <c r="AX215" s="257">
        <v>1333046</v>
      </c>
      <c r="AY215" s="257">
        <v>1068970</v>
      </c>
      <c r="AZ215" s="257">
        <v>1708050</v>
      </c>
      <c r="BA215" s="257">
        <v>2500364</v>
      </c>
      <c r="BB215" s="257">
        <v>3427072</v>
      </c>
      <c r="BC215" s="257">
        <v>1162065</v>
      </c>
      <c r="BD215" s="257">
        <v>2003034</v>
      </c>
      <c r="BE215" s="257">
        <v>3631858</v>
      </c>
      <c r="BF215" s="257">
        <v>5179905</v>
      </c>
    </row>
    <row r="216" spans="1:58" x14ac:dyDescent="0.3">
      <c r="A216" s="255" t="s">
        <v>980</v>
      </c>
      <c r="B216" s="257">
        <v>0</v>
      </c>
      <c r="C216" s="257">
        <v>0</v>
      </c>
      <c r="D216" s="257">
        <v>-54</v>
      </c>
      <c r="E216" s="257">
        <v>-56</v>
      </c>
      <c r="F216" s="257">
        <v>0</v>
      </c>
      <c r="G216" s="257">
        <v>0</v>
      </c>
      <c r="H216" s="257">
        <v>0</v>
      </c>
      <c r="I216" s="257">
        <v>0</v>
      </c>
      <c r="J216" s="257">
        <v>0</v>
      </c>
      <c r="K216" s="257">
        <v>0</v>
      </c>
      <c r="L216" s="257">
        <v>0</v>
      </c>
      <c r="M216" s="257">
        <v>0</v>
      </c>
      <c r="N216" s="257">
        <v>0</v>
      </c>
      <c r="O216" s="257">
        <v>0</v>
      </c>
      <c r="P216" s="257">
        <v>0</v>
      </c>
      <c r="Q216" s="257">
        <v>0</v>
      </c>
      <c r="R216" s="257">
        <v>0</v>
      </c>
      <c r="S216" s="257">
        <v>0</v>
      </c>
      <c r="T216" s="257">
        <v>0</v>
      </c>
      <c r="U216" s="257">
        <v>0</v>
      </c>
      <c r="V216" s="257">
        <v>0</v>
      </c>
      <c r="W216" s="257">
        <v>0</v>
      </c>
      <c r="X216" s="257">
        <v>0</v>
      </c>
      <c r="Y216" s="257">
        <v>-14</v>
      </c>
      <c r="Z216" s="257">
        <v>0</v>
      </c>
      <c r="AA216" s="257">
        <v>0</v>
      </c>
      <c r="AB216" s="257">
        <v>0</v>
      </c>
      <c r="AC216" s="257">
        <v>0</v>
      </c>
      <c r="AD216" s="257">
        <v>0</v>
      </c>
      <c r="AE216" s="257">
        <v>0</v>
      </c>
      <c r="AF216" s="257">
        <v>0</v>
      </c>
      <c r="AG216" s="257">
        <v>0</v>
      </c>
      <c r="AH216" s="257">
        <v>0</v>
      </c>
      <c r="AI216" s="257">
        <v>0</v>
      </c>
      <c r="AJ216" s="257">
        <v>0</v>
      </c>
      <c r="AK216" s="257">
        <v>0</v>
      </c>
      <c r="AL216" s="257">
        <v>0</v>
      </c>
      <c r="AM216" s="257">
        <v>0</v>
      </c>
      <c r="AN216" s="257">
        <v>0</v>
      </c>
      <c r="AO216" s="257">
        <v>0</v>
      </c>
      <c r="AP216" s="257">
        <v>0</v>
      </c>
      <c r="AQ216" s="257">
        <v>0</v>
      </c>
      <c r="AR216" s="257">
        <v>0</v>
      </c>
      <c r="AS216" s="257">
        <v>0</v>
      </c>
      <c r="AT216" s="257">
        <v>147</v>
      </c>
      <c r="AU216" s="257">
        <v>0</v>
      </c>
      <c r="AV216" s="257">
        <v>0</v>
      </c>
      <c r="AW216" s="257">
        <v>0</v>
      </c>
      <c r="AX216" s="257">
        <v>0</v>
      </c>
      <c r="AY216" s="257">
        <v>0</v>
      </c>
      <c r="AZ216" s="257">
        <v>0</v>
      </c>
      <c r="BA216" s="257">
        <v>0</v>
      </c>
      <c r="BB216" s="257">
        <v>0</v>
      </c>
      <c r="BC216" s="257">
        <v>0</v>
      </c>
      <c r="BD216" s="257">
        <v>0</v>
      </c>
      <c r="BE216" s="257">
        <v>0</v>
      </c>
      <c r="BF216" s="257">
        <v>0</v>
      </c>
    </row>
    <row r="217" spans="1:58" x14ac:dyDescent="0.3">
      <c r="A217" s="255" t="s">
        <v>981</v>
      </c>
      <c r="B217" s="257">
        <v>-12635</v>
      </c>
      <c r="C217" s="257">
        <v>-19339</v>
      </c>
      <c r="D217" s="257">
        <v>-38560</v>
      </c>
      <c r="E217" s="257">
        <v>-69596</v>
      </c>
      <c r="F217" s="257">
        <v>-142370</v>
      </c>
      <c r="G217" s="257">
        <v>-13852</v>
      </c>
      <c r="H217" s="257">
        <v>-67021</v>
      </c>
      <c r="I217" s="257">
        <v>-168347</v>
      </c>
      <c r="J217" s="257">
        <v>-304035</v>
      </c>
      <c r="K217" s="257">
        <v>53285</v>
      </c>
      <c r="L217" s="257">
        <v>2682</v>
      </c>
      <c r="M217" s="257">
        <v>-137519</v>
      </c>
      <c r="N217" s="257">
        <v>-277566</v>
      </c>
      <c r="O217" s="257">
        <v>-99181</v>
      </c>
      <c r="P217" s="257">
        <v>-645239</v>
      </c>
      <c r="Q217" s="257">
        <v>-1369483</v>
      </c>
      <c r="R217" s="257">
        <v>-2237870</v>
      </c>
      <c r="S217" s="257">
        <v>1699</v>
      </c>
      <c r="T217" s="257">
        <v>11442</v>
      </c>
      <c r="U217" s="257">
        <v>20978</v>
      </c>
      <c r="V217" s="257">
        <v>-1003073</v>
      </c>
      <c r="W217" s="257">
        <v>-53539</v>
      </c>
      <c r="X217" s="257">
        <v>-69774</v>
      </c>
      <c r="Y217" s="257">
        <v>-69739</v>
      </c>
      <c r="Z217" s="257">
        <v>110421</v>
      </c>
      <c r="AA217" s="257">
        <v>-65387</v>
      </c>
      <c r="AB217" s="257">
        <v>-116409</v>
      </c>
      <c r="AC217" s="257">
        <v>-44938</v>
      </c>
      <c r="AD217" s="257">
        <v>241622</v>
      </c>
      <c r="AE217" s="257">
        <v>4019</v>
      </c>
      <c r="AF217" s="257">
        <v>51125</v>
      </c>
      <c r="AG217" s="257">
        <v>67507</v>
      </c>
      <c r="AH217" s="257">
        <v>30627</v>
      </c>
      <c r="AI217" s="257">
        <v>2694</v>
      </c>
      <c r="AJ217" s="257">
        <v>73254</v>
      </c>
      <c r="AK217" s="257">
        <v>144712</v>
      </c>
      <c r="AL217" s="257">
        <v>204875</v>
      </c>
      <c r="AM217" s="257">
        <v>-53678</v>
      </c>
      <c r="AN217" s="257">
        <v>41858</v>
      </c>
      <c r="AO217" s="257">
        <v>47796</v>
      </c>
      <c r="AP217" s="257">
        <v>842346</v>
      </c>
      <c r="AQ217" s="257">
        <v>-61461</v>
      </c>
      <c r="AR217" s="257">
        <v>-161263</v>
      </c>
      <c r="AS217" s="257">
        <v>-271861</v>
      </c>
      <c r="AT217" s="257">
        <v>452766</v>
      </c>
      <c r="AU217" s="257">
        <v>-65792</v>
      </c>
      <c r="AV217" s="257">
        <v>355110</v>
      </c>
      <c r="AW217" s="257">
        <v>452214</v>
      </c>
      <c r="AX217" s="257">
        <v>1333046</v>
      </c>
      <c r="AY217" s="257">
        <v>1068970</v>
      </c>
      <c r="AZ217" s="257">
        <v>1708050</v>
      </c>
      <c r="BA217" s="257">
        <v>2500364</v>
      </c>
      <c r="BB217" s="257">
        <v>3427072</v>
      </c>
      <c r="BC217" s="257">
        <v>1162065</v>
      </c>
      <c r="BD217" s="257">
        <v>2003034</v>
      </c>
      <c r="BE217" s="257">
        <v>3631858</v>
      </c>
      <c r="BF217" s="257">
        <v>5179905</v>
      </c>
    </row>
    <row r="218" spans="1:58" x14ac:dyDescent="0.3">
      <c r="A218" s="255"/>
      <c r="B218" s="256"/>
      <c r="C218" s="256"/>
      <c r="D218" s="256"/>
      <c r="E218" s="256"/>
      <c r="F218" s="256"/>
      <c r="G218" s="256"/>
      <c r="H218" s="256"/>
      <c r="I218" s="256"/>
      <c r="J218" s="256"/>
      <c r="K218" s="256"/>
      <c r="L218" s="256"/>
      <c r="M218" s="256"/>
      <c r="N218" s="256"/>
      <c r="O218" s="256"/>
      <c r="P218" s="256"/>
      <c r="Q218" s="256"/>
      <c r="R218" s="256"/>
      <c r="S218" s="256"/>
      <c r="T218" s="256"/>
      <c r="U218" s="256"/>
      <c r="V218" s="256"/>
      <c r="W218" s="256"/>
      <c r="X218" s="256"/>
      <c r="Y218" s="256"/>
      <c r="Z218" s="256"/>
      <c r="AA218" s="256"/>
      <c r="AB218" s="256"/>
      <c r="AC218" s="256"/>
      <c r="AD218" s="256"/>
      <c r="AE218" s="256"/>
      <c r="AF218" s="256"/>
      <c r="AG218" s="256"/>
      <c r="AH218" s="256"/>
      <c r="AI218" s="256"/>
      <c r="AJ218" s="256"/>
      <c r="AK218" s="256"/>
      <c r="AL218" s="256"/>
      <c r="AM218" s="256"/>
      <c r="AN218" s="256"/>
      <c r="AO218" s="256"/>
      <c r="AP218" s="256"/>
      <c r="AQ218" s="256"/>
      <c r="AR218" s="256"/>
      <c r="AS218" s="256"/>
      <c r="AT218" s="256"/>
      <c r="AU218" s="256"/>
      <c r="AV218" s="256"/>
      <c r="AW218" s="256"/>
      <c r="AX218" s="256"/>
      <c r="AY218" s="256"/>
      <c r="AZ218" s="256"/>
      <c r="BA218" s="256"/>
      <c r="BB218" s="256"/>
      <c r="BC218" s="257">
        <f>BC217</f>
        <v>1162065</v>
      </c>
      <c r="BD218" s="257">
        <f>BD217-BC217</f>
        <v>840969</v>
      </c>
      <c r="BE218" s="257">
        <f>BE217-BD217</f>
        <v>1628824</v>
      </c>
      <c r="BF218" s="257">
        <f>BF217-BE217</f>
        <v>1548047</v>
      </c>
    </row>
    <row r="219" spans="1:58" x14ac:dyDescent="0.3">
      <c r="A219" s="255" t="s">
        <v>982</v>
      </c>
      <c r="B219" s="256" t="s">
        <v>5</v>
      </c>
      <c r="C219" s="256" t="s">
        <v>5</v>
      </c>
      <c r="D219" s="256" t="s">
        <v>5</v>
      </c>
      <c r="E219" s="256" t="s">
        <v>5</v>
      </c>
      <c r="F219" s="256" t="s">
        <v>5</v>
      </c>
      <c r="G219" s="256" t="s">
        <v>5</v>
      </c>
      <c r="H219" s="256" t="s">
        <v>5</v>
      </c>
      <c r="I219" s="256" t="s">
        <v>5</v>
      </c>
      <c r="J219" s="256" t="s">
        <v>5</v>
      </c>
      <c r="K219" s="256" t="s">
        <v>5</v>
      </c>
      <c r="L219" s="256" t="s">
        <v>5</v>
      </c>
      <c r="M219" s="256" t="s">
        <v>5</v>
      </c>
      <c r="N219" s="256" t="s">
        <v>5</v>
      </c>
      <c r="O219" s="256" t="s">
        <v>5</v>
      </c>
      <c r="P219" s="256" t="s">
        <v>5</v>
      </c>
      <c r="Q219" s="256" t="s">
        <v>5</v>
      </c>
      <c r="R219" s="256" t="s">
        <v>5</v>
      </c>
      <c r="S219" s="256" t="s">
        <v>5</v>
      </c>
      <c r="T219" s="256" t="s">
        <v>5</v>
      </c>
      <c r="U219" s="256" t="s">
        <v>5</v>
      </c>
      <c r="V219" s="256" t="s">
        <v>5</v>
      </c>
      <c r="W219" s="256" t="s">
        <v>5</v>
      </c>
      <c r="X219" s="256" t="s">
        <v>5</v>
      </c>
      <c r="Y219" s="256" t="s">
        <v>5</v>
      </c>
      <c r="Z219" s="256" t="s">
        <v>5</v>
      </c>
      <c r="AA219" s="256" t="s">
        <v>5</v>
      </c>
      <c r="AB219" s="256" t="s">
        <v>5</v>
      </c>
      <c r="AC219" s="256" t="s">
        <v>5</v>
      </c>
      <c r="AD219" s="256" t="s">
        <v>5</v>
      </c>
      <c r="AE219" s="256" t="s">
        <v>5</v>
      </c>
      <c r="AF219" s="256" t="s">
        <v>5</v>
      </c>
      <c r="AG219" s="256" t="s">
        <v>5</v>
      </c>
      <c r="AH219" s="256" t="s">
        <v>5</v>
      </c>
      <c r="AI219" s="256" t="s">
        <v>5</v>
      </c>
      <c r="AJ219" s="256" t="s">
        <v>5</v>
      </c>
      <c r="AK219" s="256" t="s">
        <v>5</v>
      </c>
      <c r="AL219" s="256" t="s">
        <v>5</v>
      </c>
      <c r="AM219" s="256" t="s">
        <v>5</v>
      </c>
      <c r="AN219" s="256" t="s">
        <v>5</v>
      </c>
      <c r="AO219" s="256" t="s">
        <v>5</v>
      </c>
      <c r="AP219" s="256" t="s">
        <v>5</v>
      </c>
      <c r="AQ219" s="256" t="s">
        <v>5</v>
      </c>
      <c r="AR219" s="256" t="s">
        <v>5</v>
      </c>
      <c r="AS219" s="256" t="s">
        <v>5</v>
      </c>
      <c r="AT219" s="256" t="s">
        <v>5</v>
      </c>
      <c r="AU219" s="256" t="s">
        <v>5</v>
      </c>
      <c r="AV219" s="256" t="s">
        <v>5</v>
      </c>
      <c r="AW219" s="256" t="s">
        <v>5</v>
      </c>
      <c r="AX219" s="256" t="s">
        <v>5</v>
      </c>
      <c r="AY219" s="256" t="s">
        <v>5</v>
      </c>
      <c r="AZ219" s="256" t="s">
        <v>5</v>
      </c>
      <c r="BA219" s="256" t="s">
        <v>5</v>
      </c>
      <c r="BB219" s="256" t="s">
        <v>5</v>
      </c>
      <c r="BC219" s="256" t="s">
        <v>5</v>
      </c>
      <c r="BD219" s="256" t="s">
        <v>5</v>
      </c>
      <c r="BE219" s="256" t="s">
        <v>5</v>
      </c>
      <c r="BF219" s="256" t="s">
        <v>5</v>
      </c>
    </row>
    <row r="220" spans="1:58" x14ac:dyDescent="0.3">
      <c r="A220" s="255" t="s">
        <v>956</v>
      </c>
      <c r="B220" s="256">
        <v>12</v>
      </c>
      <c r="C220" s="256">
        <v>3</v>
      </c>
      <c r="D220" s="256">
        <v>6</v>
      </c>
      <c r="E220" s="256">
        <v>9</v>
      </c>
      <c r="F220" s="256">
        <v>12</v>
      </c>
      <c r="G220" s="256">
        <v>3</v>
      </c>
      <c r="H220" s="256">
        <v>6</v>
      </c>
      <c r="I220" s="256">
        <v>9</v>
      </c>
      <c r="J220" s="256">
        <v>12</v>
      </c>
      <c r="K220" s="256">
        <v>3</v>
      </c>
      <c r="L220" s="256">
        <v>6</v>
      </c>
      <c r="M220" s="256">
        <v>9</v>
      </c>
      <c r="N220" s="256">
        <v>12</v>
      </c>
      <c r="O220" s="256">
        <v>3</v>
      </c>
      <c r="P220" s="256">
        <v>6</v>
      </c>
      <c r="Q220" s="256">
        <v>9</v>
      </c>
      <c r="R220" s="256">
        <v>12</v>
      </c>
      <c r="S220" s="256">
        <v>3</v>
      </c>
      <c r="T220" s="256">
        <v>6</v>
      </c>
      <c r="U220" s="256">
        <v>9</v>
      </c>
      <c r="V220" s="256">
        <v>12</v>
      </c>
      <c r="W220" s="256">
        <v>3</v>
      </c>
      <c r="X220" s="256">
        <v>6</v>
      </c>
      <c r="Y220" s="256">
        <v>9</v>
      </c>
      <c r="Z220" s="256">
        <v>12</v>
      </c>
      <c r="AA220" s="256">
        <v>3</v>
      </c>
      <c r="AB220" s="256">
        <v>6</v>
      </c>
      <c r="AC220" s="256">
        <v>9</v>
      </c>
      <c r="AD220" s="256">
        <v>12</v>
      </c>
      <c r="AE220" s="256">
        <v>3</v>
      </c>
      <c r="AF220" s="256">
        <v>6</v>
      </c>
      <c r="AG220" s="256">
        <v>9</v>
      </c>
      <c r="AH220" s="256">
        <v>12</v>
      </c>
      <c r="AI220" s="256">
        <v>3</v>
      </c>
      <c r="AJ220" s="256">
        <v>6</v>
      </c>
      <c r="AK220" s="256">
        <v>9</v>
      </c>
      <c r="AL220" s="256">
        <v>12</v>
      </c>
      <c r="AM220" s="256">
        <v>3</v>
      </c>
      <c r="AN220" s="256">
        <v>6</v>
      </c>
      <c r="AO220" s="256">
        <v>9</v>
      </c>
      <c r="AP220" s="256">
        <v>12</v>
      </c>
      <c r="AQ220" s="256">
        <v>3</v>
      </c>
      <c r="AR220" s="256">
        <v>6</v>
      </c>
      <c r="AS220" s="256">
        <v>9</v>
      </c>
      <c r="AT220" s="256">
        <v>12</v>
      </c>
      <c r="AU220" s="256">
        <v>3</v>
      </c>
      <c r="AV220" s="256">
        <v>6</v>
      </c>
      <c r="AW220" s="256">
        <v>9</v>
      </c>
      <c r="AX220" s="256">
        <v>12</v>
      </c>
      <c r="AY220" s="256">
        <v>3</v>
      </c>
      <c r="AZ220" s="256">
        <v>6</v>
      </c>
      <c r="BA220" s="256">
        <v>9</v>
      </c>
      <c r="BB220" s="256">
        <v>12</v>
      </c>
      <c r="BC220" s="256">
        <v>3</v>
      </c>
      <c r="BD220" s="256">
        <v>6</v>
      </c>
      <c r="BE220" s="256">
        <v>9</v>
      </c>
      <c r="BF220" s="256">
        <v>12</v>
      </c>
    </row>
    <row r="221" spans="1:58" x14ac:dyDescent="0.3">
      <c r="A221" s="255"/>
      <c r="B221" s="256"/>
      <c r="C221" s="256"/>
      <c r="D221" s="256"/>
      <c r="E221" s="256"/>
      <c r="F221" s="256"/>
      <c r="G221" s="256"/>
      <c r="H221" s="256"/>
      <c r="I221" s="256"/>
      <c r="J221" s="256"/>
      <c r="K221" s="256"/>
      <c r="L221" s="256"/>
      <c r="M221" s="256"/>
      <c r="N221" s="256"/>
      <c r="O221" s="256"/>
      <c r="P221" s="256"/>
      <c r="Q221" s="256"/>
      <c r="R221" s="256"/>
      <c r="S221" s="256"/>
      <c r="T221" s="256"/>
      <c r="U221" s="256"/>
      <c r="V221" s="256"/>
      <c r="W221" s="256"/>
      <c r="X221" s="256"/>
      <c r="Y221" s="256"/>
      <c r="Z221" s="256"/>
      <c r="AA221" s="256"/>
      <c r="AB221" s="256"/>
      <c r="AC221" s="256"/>
      <c r="AD221" s="256"/>
      <c r="AE221" s="256"/>
      <c r="AF221" s="256"/>
      <c r="AG221" s="256"/>
      <c r="AH221" s="256"/>
      <c r="AI221" s="256"/>
      <c r="AJ221" s="256"/>
      <c r="AK221" s="256"/>
      <c r="AL221" s="256"/>
      <c r="AM221" s="256"/>
      <c r="AN221" s="256"/>
      <c r="AO221" s="256"/>
      <c r="AP221" s="256"/>
      <c r="AQ221" s="256"/>
      <c r="AR221" s="256"/>
      <c r="AS221" s="256"/>
      <c r="AT221" s="256"/>
      <c r="AU221" s="256"/>
      <c r="AV221" s="256"/>
      <c r="AW221" s="256"/>
      <c r="AX221" s="256"/>
      <c r="AY221" s="256"/>
      <c r="AZ221" s="256"/>
      <c r="BA221" s="256"/>
      <c r="BB221" s="256"/>
      <c r="BC221" s="256"/>
      <c r="BD221" s="256"/>
      <c r="BE221" s="256"/>
      <c r="BF221" s="256"/>
    </row>
    <row r="222" spans="1:58" x14ac:dyDescent="0.3">
      <c r="A222" s="255" t="s">
        <v>983</v>
      </c>
      <c r="B222" s="257">
        <v>-17101</v>
      </c>
      <c r="C222" s="257">
        <v>-41746</v>
      </c>
      <c r="D222" s="257">
        <v>-71281</v>
      </c>
      <c r="E222" s="257">
        <v>-105881</v>
      </c>
      <c r="F222" s="257">
        <v>-2199821</v>
      </c>
      <c r="G222" s="257">
        <v>-74733</v>
      </c>
      <c r="H222" s="257">
        <v>-123467</v>
      </c>
      <c r="I222" s="257">
        <v>-385200</v>
      </c>
      <c r="J222" s="257">
        <v>-503418</v>
      </c>
      <c r="K222" s="257">
        <v>-1751309</v>
      </c>
      <c r="L222" s="257">
        <v>-109990</v>
      </c>
      <c r="M222" s="257">
        <v>-210821</v>
      </c>
      <c r="N222" s="257">
        <v>-234358</v>
      </c>
      <c r="O222" s="257">
        <v>-106346</v>
      </c>
      <c r="P222" s="257">
        <v>-167224</v>
      </c>
      <c r="Q222" s="257">
        <v>-379961</v>
      </c>
      <c r="R222" s="257">
        <v>-282875</v>
      </c>
      <c r="S222" s="257">
        <v>155697</v>
      </c>
      <c r="T222" s="257">
        <v>83788</v>
      </c>
      <c r="U222" s="257">
        <v>107602</v>
      </c>
      <c r="V222" s="257">
        <v>88168</v>
      </c>
      <c r="W222" s="257">
        <v>-34219</v>
      </c>
      <c r="X222" s="257">
        <v>-40219</v>
      </c>
      <c r="Y222" s="257">
        <v>-123640</v>
      </c>
      <c r="Z222" s="257">
        <v>-20171</v>
      </c>
      <c r="AA222" s="257">
        <v>45983</v>
      </c>
      <c r="AB222" s="257">
        <v>28497</v>
      </c>
      <c r="AC222" s="257">
        <v>36046</v>
      </c>
      <c r="AD222" s="257">
        <v>114000</v>
      </c>
      <c r="AE222" s="257">
        <v>-19201</v>
      </c>
      <c r="AF222" s="257">
        <v>-10072</v>
      </c>
      <c r="AG222" s="257">
        <v>26243</v>
      </c>
      <c r="AH222" s="257">
        <v>51536</v>
      </c>
      <c r="AI222" s="257">
        <v>-17962</v>
      </c>
      <c r="AJ222" s="257">
        <v>77058</v>
      </c>
      <c r="AK222" s="257">
        <v>167710</v>
      </c>
      <c r="AL222" s="257">
        <v>270116</v>
      </c>
      <c r="AM222" s="257">
        <v>44927</v>
      </c>
      <c r="AN222" s="257">
        <v>374038</v>
      </c>
      <c r="AO222" s="257">
        <v>521799</v>
      </c>
      <c r="AP222" s="257">
        <v>444671</v>
      </c>
      <c r="AQ222" s="257">
        <v>236752</v>
      </c>
      <c r="AR222" s="257">
        <v>791434</v>
      </c>
      <c r="AS222" s="257">
        <v>1254191</v>
      </c>
      <c r="AT222" s="257">
        <v>1617546</v>
      </c>
      <c r="AU222" s="257">
        <v>723130</v>
      </c>
      <c r="AV222" s="257">
        <v>804781</v>
      </c>
      <c r="AW222" s="257">
        <v>1514308</v>
      </c>
      <c r="AX222" s="257">
        <v>2183736</v>
      </c>
      <c r="AY222" s="257">
        <v>969766</v>
      </c>
      <c r="AZ222" s="257">
        <v>1671174</v>
      </c>
      <c r="BA222" s="257">
        <v>3517988</v>
      </c>
      <c r="BB222" s="257">
        <v>4927159</v>
      </c>
      <c r="BC222" s="257">
        <v>-90108</v>
      </c>
      <c r="BD222" s="257">
        <v>2327947</v>
      </c>
      <c r="BE222" s="257">
        <v>4939467</v>
      </c>
      <c r="BF222" s="257">
        <v>7740287</v>
      </c>
    </row>
    <row r="223" spans="1:58" x14ac:dyDescent="0.3">
      <c r="A223" s="258" t="s">
        <v>984</v>
      </c>
      <c r="B223" s="264" t="s">
        <v>792</v>
      </c>
      <c r="C223" s="259">
        <v>-17282</v>
      </c>
      <c r="D223" s="259">
        <v>-39705</v>
      </c>
      <c r="E223" s="259">
        <v>-65840</v>
      </c>
      <c r="F223" s="259">
        <v>-166322</v>
      </c>
      <c r="G223" s="259">
        <v>-67643</v>
      </c>
      <c r="H223" s="259">
        <v>-57358</v>
      </c>
      <c r="I223" s="259">
        <v>-329009</v>
      </c>
      <c r="J223" s="259">
        <v>-479854</v>
      </c>
      <c r="K223" s="259">
        <v>58525</v>
      </c>
      <c r="L223" s="259">
        <v>-57651</v>
      </c>
      <c r="M223" s="259">
        <v>-222875</v>
      </c>
      <c r="N223" s="259">
        <v>-309457</v>
      </c>
      <c r="O223" s="259">
        <v>-74513</v>
      </c>
      <c r="P223" s="259">
        <v>-177750</v>
      </c>
      <c r="Q223" s="259">
        <v>-340732</v>
      </c>
      <c r="R223" s="259">
        <v>-280263</v>
      </c>
      <c r="S223" s="259">
        <v>35788</v>
      </c>
      <c r="T223" s="259">
        <v>69884</v>
      </c>
      <c r="U223" s="259">
        <v>107578</v>
      </c>
      <c r="V223" s="259">
        <v>125303</v>
      </c>
      <c r="W223" s="259">
        <v>-13600</v>
      </c>
      <c r="X223" s="259">
        <v>41226</v>
      </c>
      <c r="Y223" s="259">
        <v>98831</v>
      </c>
      <c r="Z223" s="259">
        <v>61306</v>
      </c>
      <c r="AA223" s="259">
        <v>-29348</v>
      </c>
      <c r="AB223" s="259">
        <v>-48277</v>
      </c>
      <c r="AC223" s="259">
        <v>-23124</v>
      </c>
      <c r="AD223" s="259">
        <v>19115</v>
      </c>
      <c r="AE223" s="259">
        <v>5590</v>
      </c>
      <c r="AF223" s="259">
        <v>31803</v>
      </c>
      <c r="AG223" s="259">
        <v>64321</v>
      </c>
      <c r="AH223" s="259">
        <v>58112</v>
      </c>
      <c r="AI223" s="259">
        <v>29129</v>
      </c>
      <c r="AJ223" s="259">
        <v>133722</v>
      </c>
      <c r="AK223" s="259">
        <v>203660</v>
      </c>
      <c r="AL223" s="259">
        <v>278298</v>
      </c>
      <c r="AM223" s="259">
        <v>46002</v>
      </c>
      <c r="AN223" s="259">
        <v>343124</v>
      </c>
      <c r="AO223" s="259">
        <v>563148</v>
      </c>
      <c r="AP223" s="259">
        <v>777216</v>
      </c>
      <c r="AQ223" s="259">
        <v>150865</v>
      </c>
      <c r="AR223" s="259">
        <v>660609</v>
      </c>
      <c r="AS223" s="259">
        <v>988411</v>
      </c>
      <c r="AT223" s="259">
        <v>1403316</v>
      </c>
      <c r="AU223" s="259">
        <v>500674</v>
      </c>
      <c r="AV223" s="259">
        <v>902712</v>
      </c>
      <c r="AW223" s="259">
        <v>1571991</v>
      </c>
      <c r="AX223" s="259">
        <v>2876959</v>
      </c>
      <c r="AY223" s="259">
        <v>1146417</v>
      </c>
      <c r="AZ223" s="259">
        <v>2015705</v>
      </c>
      <c r="BA223" s="259">
        <v>4024648</v>
      </c>
      <c r="BB223" s="259">
        <v>4591578</v>
      </c>
      <c r="BC223" s="259">
        <v>1890978</v>
      </c>
      <c r="BD223" s="259">
        <v>3458389</v>
      </c>
      <c r="BE223" s="259">
        <v>6712087</v>
      </c>
      <c r="BF223" s="259">
        <v>9746434</v>
      </c>
    </row>
    <row r="224" spans="1:58" x14ac:dyDescent="0.3">
      <c r="A224" s="260" t="s">
        <v>985</v>
      </c>
      <c r="B224" s="261" t="s">
        <v>792</v>
      </c>
      <c r="C224" s="262">
        <v>-19339</v>
      </c>
      <c r="D224" s="262">
        <v>-38560</v>
      </c>
      <c r="E224" s="262">
        <v>-69596</v>
      </c>
      <c r="F224" s="262">
        <v>-142370</v>
      </c>
      <c r="G224" s="262">
        <v>-13852</v>
      </c>
      <c r="H224" s="262">
        <v>-67021</v>
      </c>
      <c r="I224" s="262">
        <v>-168347</v>
      </c>
      <c r="J224" s="262">
        <v>-280819</v>
      </c>
      <c r="K224" s="262">
        <v>80800</v>
      </c>
      <c r="L224" s="262">
        <v>11716</v>
      </c>
      <c r="M224" s="262">
        <v>-127234</v>
      </c>
      <c r="N224" s="262">
        <v>-277566</v>
      </c>
      <c r="O224" s="262">
        <v>-99181</v>
      </c>
      <c r="P224" s="262">
        <v>-644183</v>
      </c>
      <c r="Q224" s="262">
        <v>-1459542</v>
      </c>
      <c r="R224" s="262">
        <v>-2561163</v>
      </c>
      <c r="S224" s="262">
        <v>3244</v>
      </c>
      <c r="T224" s="262">
        <v>12485</v>
      </c>
      <c r="U224" s="262">
        <v>30396</v>
      </c>
      <c r="V224" s="262">
        <v>-1052003</v>
      </c>
      <c r="W224" s="262">
        <v>-54002</v>
      </c>
      <c r="X224" s="262">
        <v>-72395</v>
      </c>
      <c r="Y224" s="262">
        <v>-75064</v>
      </c>
      <c r="Z224" s="262">
        <v>104894</v>
      </c>
      <c r="AA224" s="262">
        <v>-65027</v>
      </c>
      <c r="AB224" s="262">
        <v>-116385</v>
      </c>
      <c r="AC224" s="262">
        <v>-22497</v>
      </c>
      <c r="AD224" s="262">
        <v>252951</v>
      </c>
      <c r="AE224" s="262">
        <v>9323</v>
      </c>
      <c r="AF224" s="262">
        <v>58699</v>
      </c>
      <c r="AG224" s="262">
        <v>72417</v>
      </c>
      <c r="AH224" s="262">
        <v>28434</v>
      </c>
      <c r="AI224" s="262">
        <v>2378</v>
      </c>
      <c r="AJ224" s="262">
        <v>73264</v>
      </c>
      <c r="AK224" s="262">
        <v>170476</v>
      </c>
      <c r="AL224" s="262">
        <v>241377</v>
      </c>
      <c r="AM224" s="262">
        <v>-48917</v>
      </c>
      <c r="AN224" s="262">
        <v>82305</v>
      </c>
      <c r="AO224" s="262">
        <v>-88884</v>
      </c>
      <c r="AP224" s="262">
        <v>541002</v>
      </c>
      <c r="AQ224" s="262">
        <v>-52571</v>
      </c>
      <c r="AR224" s="262">
        <v>-175325</v>
      </c>
      <c r="AS224" s="262">
        <v>-249483</v>
      </c>
      <c r="AT224" s="262">
        <v>484080</v>
      </c>
      <c r="AU224" s="262">
        <v>-45275</v>
      </c>
      <c r="AV224" s="262">
        <v>516566</v>
      </c>
      <c r="AW224" s="262">
        <v>683987</v>
      </c>
      <c r="AX224" s="262">
        <v>1499121</v>
      </c>
      <c r="AY224" s="262">
        <v>905243</v>
      </c>
      <c r="AZ224" s="262">
        <v>1735988</v>
      </c>
      <c r="BA224" s="262">
        <v>2982382</v>
      </c>
      <c r="BB224" s="262">
        <v>3661820</v>
      </c>
      <c r="BC224" s="262">
        <v>1255553</v>
      </c>
      <c r="BD224" s="262">
        <v>2095688</v>
      </c>
      <c r="BE224" s="262">
        <v>4215915</v>
      </c>
      <c r="BF224" s="262">
        <v>6104672</v>
      </c>
    </row>
    <row r="225" spans="1:58" x14ac:dyDescent="0.3">
      <c r="A225" s="260" t="s">
        <v>986</v>
      </c>
      <c r="B225" s="261" t="s">
        <v>792</v>
      </c>
      <c r="C225" s="262">
        <v>280</v>
      </c>
      <c r="D225" s="262">
        <v>694</v>
      </c>
      <c r="E225" s="262">
        <v>1191</v>
      </c>
      <c r="F225" s="262">
        <v>1894</v>
      </c>
      <c r="G225" s="262">
        <v>3644</v>
      </c>
      <c r="H225" s="262">
        <v>6149</v>
      </c>
      <c r="I225" s="262">
        <v>8728</v>
      </c>
      <c r="J225" s="262">
        <v>17454</v>
      </c>
      <c r="K225" s="262">
        <v>7590</v>
      </c>
      <c r="L225" s="262">
        <v>13506</v>
      </c>
      <c r="M225" s="262">
        <v>31248</v>
      </c>
      <c r="N225" s="262">
        <v>35607</v>
      </c>
      <c r="O225" s="262">
        <v>6419</v>
      </c>
      <c r="P225" s="262">
        <v>14482</v>
      </c>
      <c r="Q225" s="262">
        <v>15164</v>
      </c>
      <c r="R225" s="262">
        <v>25333</v>
      </c>
      <c r="S225" s="262">
        <v>25434</v>
      </c>
      <c r="T225" s="262">
        <v>48578</v>
      </c>
      <c r="U225" s="262">
        <v>76844</v>
      </c>
      <c r="V225" s="262">
        <v>176338</v>
      </c>
      <c r="W225" s="262">
        <v>4851</v>
      </c>
      <c r="X225" s="262">
        <v>48535</v>
      </c>
      <c r="Y225" s="262">
        <v>103804</v>
      </c>
      <c r="Z225" s="262">
        <v>65836</v>
      </c>
      <c r="AA225" s="262">
        <v>11581</v>
      </c>
      <c r="AB225" s="262">
        <v>32980</v>
      </c>
      <c r="AC225" s="262">
        <v>48428</v>
      </c>
      <c r="AD225" s="262">
        <v>69571</v>
      </c>
      <c r="AE225" s="262">
        <v>12715</v>
      </c>
      <c r="AF225" s="262">
        <v>44269</v>
      </c>
      <c r="AG225" s="262">
        <v>67986</v>
      </c>
      <c r="AH225" s="262">
        <v>89457</v>
      </c>
      <c r="AI225" s="262">
        <v>26164</v>
      </c>
      <c r="AJ225" s="262">
        <v>71763</v>
      </c>
      <c r="AK225" s="262">
        <v>66457</v>
      </c>
      <c r="AL225" s="262">
        <v>76920</v>
      </c>
      <c r="AM225" s="262">
        <v>34034</v>
      </c>
      <c r="AN225" s="262">
        <v>121783</v>
      </c>
      <c r="AO225" s="262">
        <v>278366</v>
      </c>
      <c r="AP225" s="262">
        <v>508958</v>
      </c>
      <c r="AQ225" s="262">
        <v>131655</v>
      </c>
      <c r="AR225" s="262">
        <v>351579</v>
      </c>
      <c r="AS225" s="262">
        <v>555846</v>
      </c>
      <c r="AT225" s="262">
        <v>843800</v>
      </c>
      <c r="AU225" s="262">
        <v>131950</v>
      </c>
      <c r="AV225" s="262">
        <v>368124</v>
      </c>
      <c r="AW225" s="262">
        <v>576228</v>
      </c>
      <c r="AX225" s="262">
        <v>881271</v>
      </c>
      <c r="AY225" s="262">
        <v>184255</v>
      </c>
      <c r="AZ225" s="262">
        <v>392317</v>
      </c>
      <c r="BA225" s="262">
        <v>657418</v>
      </c>
      <c r="BB225" s="262">
        <v>854256</v>
      </c>
      <c r="BC225" s="262">
        <v>302943</v>
      </c>
      <c r="BD225" s="262">
        <v>845349</v>
      </c>
      <c r="BE225" s="262">
        <v>1691569</v>
      </c>
      <c r="BF225" s="262">
        <v>2054585</v>
      </c>
    </row>
    <row r="226" spans="1:58" x14ac:dyDescent="0.3">
      <c r="A226" s="260" t="s">
        <v>987</v>
      </c>
      <c r="B226" s="261" t="s">
        <v>792</v>
      </c>
      <c r="C226" s="262">
        <v>-6167</v>
      </c>
      <c r="D226" s="262">
        <v>-12444</v>
      </c>
      <c r="E226" s="262">
        <v>-18648</v>
      </c>
      <c r="F226" s="262">
        <v>-52497</v>
      </c>
      <c r="G226" s="262">
        <v>-61799</v>
      </c>
      <c r="H226" s="262">
        <v>-3495</v>
      </c>
      <c r="I226" s="262">
        <v>-178336</v>
      </c>
      <c r="J226" s="262">
        <v>-226078</v>
      </c>
      <c r="K226" s="262">
        <v>-29776</v>
      </c>
      <c r="L226" s="262">
        <v>-82897</v>
      </c>
      <c r="M226" s="262">
        <v>-113812</v>
      </c>
      <c r="N226" s="262">
        <v>-126618</v>
      </c>
      <c r="O226" s="262">
        <v>-4827</v>
      </c>
      <c r="P226" s="262">
        <v>-30823</v>
      </c>
      <c r="Q226" s="262">
        <v>-33870</v>
      </c>
      <c r="R226" s="262">
        <v>-44066</v>
      </c>
      <c r="S226" s="262">
        <v>7110</v>
      </c>
      <c r="T226" s="262">
        <v>8747</v>
      </c>
      <c r="U226" s="262">
        <v>-12112</v>
      </c>
      <c r="V226" s="262">
        <v>-15872</v>
      </c>
      <c r="W226" s="262">
        <v>15804</v>
      </c>
      <c r="X226" s="262">
        <v>66703</v>
      </c>
      <c r="Y226" s="262">
        <v>60410</v>
      </c>
      <c r="Z226" s="262">
        <v>45270</v>
      </c>
      <c r="AA226" s="262">
        <v>19959</v>
      </c>
      <c r="AB226" s="262">
        <v>52480</v>
      </c>
      <c r="AC226" s="262">
        <v>-53968</v>
      </c>
      <c r="AD226" s="262">
        <v>-3859</v>
      </c>
      <c r="AE226" s="262">
        <v>-16447</v>
      </c>
      <c r="AF226" s="262">
        <v>-29087</v>
      </c>
      <c r="AG226" s="262">
        <v>-36068</v>
      </c>
      <c r="AH226" s="262">
        <v>-8328</v>
      </c>
      <c r="AI226" s="262">
        <v>-5362</v>
      </c>
      <c r="AJ226" s="262">
        <v>-22756</v>
      </c>
      <c r="AK226" s="262">
        <v>-58519</v>
      </c>
      <c r="AL226" s="262">
        <v>-71543</v>
      </c>
      <c r="AM226" s="262">
        <v>57499</v>
      </c>
      <c r="AN226" s="262">
        <v>134719</v>
      </c>
      <c r="AO226" s="262">
        <v>247970</v>
      </c>
      <c r="AP226" s="262">
        <v>323082</v>
      </c>
      <c r="AQ226" s="262">
        <v>157918</v>
      </c>
      <c r="AR226" s="262">
        <v>569688</v>
      </c>
      <c r="AS226" s="262">
        <v>786031</v>
      </c>
      <c r="AT226" s="262">
        <v>670384</v>
      </c>
      <c r="AU226" s="262">
        <v>406862</v>
      </c>
      <c r="AV226" s="262">
        <v>-33128</v>
      </c>
      <c r="AW226" s="262">
        <v>332939</v>
      </c>
      <c r="AX226" s="262">
        <v>533817</v>
      </c>
      <c r="AY226" s="262">
        <v>71608</v>
      </c>
      <c r="AZ226" s="262">
        <v>-195138</v>
      </c>
      <c r="BA226" s="262">
        <v>363462</v>
      </c>
      <c r="BB226" s="262">
        <v>330951</v>
      </c>
      <c r="BC226" s="262">
        <v>279902</v>
      </c>
      <c r="BD226" s="262">
        <v>430601</v>
      </c>
      <c r="BE226" s="262">
        <v>575703</v>
      </c>
      <c r="BF226" s="262">
        <v>1683473</v>
      </c>
    </row>
    <row r="227" spans="1:58" x14ac:dyDescent="0.3">
      <c r="A227" s="260" t="s">
        <v>988</v>
      </c>
      <c r="B227" s="261" t="s">
        <v>792</v>
      </c>
      <c r="C227" s="262">
        <v>0</v>
      </c>
      <c r="D227" s="262">
        <v>0</v>
      </c>
      <c r="E227" s="262">
        <v>0</v>
      </c>
      <c r="F227" s="262">
        <v>0</v>
      </c>
      <c r="G227" s="262">
        <v>0</v>
      </c>
      <c r="H227" s="262">
        <v>0</v>
      </c>
      <c r="I227" s="262">
        <v>0</v>
      </c>
      <c r="J227" s="262">
        <v>0</v>
      </c>
      <c r="K227" s="262">
        <v>0</v>
      </c>
      <c r="L227" s="262">
        <v>0</v>
      </c>
      <c r="M227" s="262">
        <v>0</v>
      </c>
      <c r="N227" s="262">
        <v>0</v>
      </c>
      <c r="O227" s="262">
        <v>0</v>
      </c>
      <c r="P227" s="262">
        <v>0</v>
      </c>
      <c r="Q227" s="262">
        <v>0</v>
      </c>
      <c r="R227" s="262">
        <v>0</v>
      </c>
      <c r="S227" s="262">
        <v>0</v>
      </c>
      <c r="T227" s="262">
        <v>0</v>
      </c>
      <c r="U227" s="262">
        <v>0</v>
      </c>
      <c r="V227" s="262">
        <v>28635</v>
      </c>
      <c r="W227" s="262">
        <v>0</v>
      </c>
      <c r="X227" s="262">
        <v>0</v>
      </c>
      <c r="Y227" s="262">
        <v>0</v>
      </c>
      <c r="Z227" s="262">
        <v>9201</v>
      </c>
      <c r="AA227" s="262">
        <v>0</v>
      </c>
      <c r="AB227" s="262">
        <v>0</v>
      </c>
      <c r="AC227" s="262">
        <v>0</v>
      </c>
      <c r="AD227" s="262">
        <v>321</v>
      </c>
      <c r="AE227" s="262">
        <v>0</v>
      </c>
      <c r="AF227" s="262">
        <v>0</v>
      </c>
      <c r="AG227" s="262">
        <v>0</v>
      </c>
      <c r="AH227" s="262">
        <v>0</v>
      </c>
      <c r="AI227" s="262">
        <v>0</v>
      </c>
      <c r="AJ227" s="262">
        <v>0</v>
      </c>
      <c r="AK227" s="262">
        <v>1316</v>
      </c>
      <c r="AL227" s="262">
        <v>1321</v>
      </c>
      <c r="AM227" s="262">
        <v>0</v>
      </c>
      <c r="AN227" s="262">
        <v>0</v>
      </c>
      <c r="AO227" s="262">
        <v>0</v>
      </c>
      <c r="AP227" s="262">
        <v>0</v>
      </c>
      <c r="AQ227" s="262">
        <v>0</v>
      </c>
      <c r="AR227" s="262">
        <v>0</v>
      </c>
      <c r="AS227" s="262">
        <v>0</v>
      </c>
      <c r="AT227" s="262">
        <v>0</v>
      </c>
      <c r="AU227" s="262">
        <v>0</v>
      </c>
      <c r="AV227" s="262">
        <v>0</v>
      </c>
      <c r="AW227" s="262">
        <v>0</v>
      </c>
      <c r="AX227" s="262">
        <v>0</v>
      </c>
      <c r="AY227" s="262">
        <v>0</v>
      </c>
      <c r="AZ227" s="262">
        <v>0</v>
      </c>
      <c r="BA227" s="262">
        <v>0</v>
      </c>
      <c r="BB227" s="262">
        <v>0</v>
      </c>
      <c r="BC227" s="262">
        <v>0</v>
      </c>
      <c r="BD227" s="262">
        <v>0</v>
      </c>
      <c r="BE227" s="262">
        <v>0</v>
      </c>
      <c r="BF227" s="262">
        <v>0</v>
      </c>
    </row>
    <row r="228" spans="1:58" x14ac:dyDescent="0.3">
      <c r="A228" s="260" t="s">
        <v>989</v>
      </c>
      <c r="B228" s="261" t="s">
        <v>792</v>
      </c>
      <c r="C228" s="262">
        <v>0</v>
      </c>
      <c r="D228" s="262">
        <v>0</v>
      </c>
      <c r="E228" s="262">
        <v>0</v>
      </c>
      <c r="F228" s="262">
        <v>0</v>
      </c>
      <c r="G228" s="262">
        <v>0</v>
      </c>
      <c r="H228" s="262">
        <v>0</v>
      </c>
      <c r="I228" s="262">
        <v>0</v>
      </c>
      <c r="J228" s="262">
        <v>0</v>
      </c>
      <c r="K228" s="262">
        <v>0</v>
      </c>
      <c r="L228" s="262">
        <v>0</v>
      </c>
      <c r="M228" s="262">
        <v>0</v>
      </c>
      <c r="N228" s="262">
        <v>44115</v>
      </c>
      <c r="O228" s="262">
        <v>0</v>
      </c>
      <c r="P228" s="262">
        <v>457458</v>
      </c>
      <c r="Q228" s="262">
        <v>584146</v>
      </c>
      <c r="R228" s="262">
        <v>591165</v>
      </c>
      <c r="S228" s="262">
        <v>0</v>
      </c>
      <c r="T228" s="262">
        <v>0</v>
      </c>
      <c r="U228" s="262">
        <v>0</v>
      </c>
      <c r="V228" s="262">
        <v>541791</v>
      </c>
      <c r="W228" s="262">
        <v>0</v>
      </c>
      <c r="X228" s="262">
        <v>0</v>
      </c>
      <c r="Y228" s="262">
        <v>0</v>
      </c>
      <c r="Z228" s="262">
        <v>0</v>
      </c>
      <c r="AA228" s="262">
        <v>0</v>
      </c>
      <c r="AB228" s="262">
        <v>0</v>
      </c>
      <c r="AC228" s="262">
        <v>0</v>
      </c>
      <c r="AD228" s="262">
        <v>0</v>
      </c>
      <c r="AE228" s="262">
        <v>0</v>
      </c>
      <c r="AF228" s="262">
        <v>0</v>
      </c>
      <c r="AG228" s="262">
        <v>0</v>
      </c>
      <c r="AH228" s="262">
        <v>0</v>
      </c>
      <c r="AI228" s="262">
        <v>0</v>
      </c>
      <c r="AJ228" s="262">
        <v>0</v>
      </c>
      <c r="AK228" s="262">
        <v>0</v>
      </c>
      <c r="AL228" s="262">
        <v>0</v>
      </c>
      <c r="AM228" s="262">
        <v>0</v>
      </c>
      <c r="AN228" s="262">
        <v>0</v>
      </c>
      <c r="AO228" s="262">
        <v>0</v>
      </c>
      <c r="AP228" s="262">
        <v>0</v>
      </c>
      <c r="AQ228" s="262">
        <v>0</v>
      </c>
      <c r="AR228" s="262">
        <v>0</v>
      </c>
      <c r="AS228" s="262">
        <v>0</v>
      </c>
      <c r="AT228" s="262">
        <v>0</v>
      </c>
      <c r="AU228" s="262">
        <v>0</v>
      </c>
      <c r="AV228" s="262">
        <v>0</v>
      </c>
      <c r="AW228" s="262">
        <v>0</v>
      </c>
      <c r="AX228" s="262">
        <v>0</v>
      </c>
      <c r="AY228" s="262">
        <v>0</v>
      </c>
      <c r="AZ228" s="262">
        <v>0</v>
      </c>
      <c r="BA228" s="262">
        <v>0</v>
      </c>
      <c r="BB228" s="262">
        <v>0</v>
      </c>
      <c r="BC228" s="262">
        <v>0</v>
      </c>
      <c r="BD228" s="262">
        <v>0</v>
      </c>
      <c r="BE228" s="262">
        <v>0</v>
      </c>
      <c r="BF228" s="262">
        <v>0</v>
      </c>
    </row>
    <row r="229" spans="1:58" x14ac:dyDescent="0.3">
      <c r="A229" s="260" t="s">
        <v>990</v>
      </c>
      <c r="B229" s="261" t="s">
        <v>792</v>
      </c>
      <c r="C229" s="262">
        <v>0</v>
      </c>
      <c r="D229" s="262">
        <v>0</v>
      </c>
      <c r="E229" s="262">
        <v>0</v>
      </c>
      <c r="F229" s="262">
        <v>0</v>
      </c>
      <c r="G229" s="262">
        <v>0</v>
      </c>
      <c r="H229" s="262">
        <v>0</v>
      </c>
      <c r="I229" s="262">
        <v>0</v>
      </c>
      <c r="J229" s="262">
        <v>0</v>
      </c>
      <c r="K229" s="262">
        <v>0</v>
      </c>
      <c r="L229" s="262">
        <v>0</v>
      </c>
      <c r="M229" s="262">
        <v>0</v>
      </c>
      <c r="N229" s="262">
        <v>0</v>
      </c>
      <c r="O229" s="262">
        <v>0</v>
      </c>
      <c r="P229" s="262">
        <v>0</v>
      </c>
      <c r="Q229" s="262">
        <v>0</v>
      </c>
      <c r="R229" s="262">
        <v>0</v>
      </c>
      <c r="S229" s="262">
        <v>0</v>
      </c>
      <c r="T229" s="262">
        <v>0</v>
      </c>
      <c r="U229" s="262">
        <v>0</v>
      </c>
      <c r="V229" s="262">
        <v>0</v>
      </c>
      <c r="W229" s="262">
        <v>0</v>
      </c>
      <c r="X229" s="262">
        <v>0</v>
      </c>
      <c r="Y229" s="262">
        <v>0</v>
      </c>
      <c r="Z229" s="262">
        <v>0</v>
      </c>
      <c r="AA229" s="262">
        <v>0</v>
      </c>
      <c r="AB229" s="262">
        <v>0</v>
      </c>
      <c r="AC229" s="262">
        <v>0</v>
      </c>
      <c r="AD229" s="262">
        <v>0</v>
      </c>
      <c r="AE229" s="262">
        <v>0</v>
      </c>
      <c r="AF229" s="262">
        <v>0</v>
      </c>
      <c r="AG229" s="262">
        <v>0</v>
      </c>
      <c r="AH229" s="262">
        <v>0</v>
      </c>
      <c r="AI229" s="262">
        <v>119</v>
      </c>
      <c r="AJ229" s="262">
        <v>119</v>
      </c>
      <c r="AK229" s="262">
        <v>119</v>
      </c>
      <c r="AL229" s="262">
        <v>119</v>
      </c>
      <c r="AM229" s="262">
        <v>0</v>
      </c>
      <c r="AN229" s="262">
        <v>0</v>
      </c>
      <c r="AO229" s="262">
        <v>0</v>
      </c>
      <c r="AP229" s="262">
        <v>0</v>
      </c>
      <c r="AQ229" s="262">
        <v>0</v>
      </c>
      <c r="AR229" s="262">
        <v>0</v>
      </c>
      <c r="AS229" s="262">
        <v>0</v>
      </c>
      <c r="AT229" s="262">
        <v>0</v>
      </c>
      <c r="AU229" s="262">
        <v>0</v>
      </c>
      <c r="AV229" s="262">
        <v>0</v>
      </c>
      <c r="AW229" s="262">
        <v>0</v>
      </c>
      <c r="AX229" s="262">
        <v>0</v>
      </c>
      <c r="AY229" s="262">
        <v>0</v>
      </c>
      <c r="AZ229" s="262">
        <v>0</v>
      </c>
      <c r="BA229" s="262">
        <v>0</v>
      </c>
      <c r="BB229" s="262">
        <v>38399</v>
      </c>
      <c r="BC229" s="262">
        <v>0</v>
      </c>
      <c r="BD229" s="262">
        <v>0</v>
      </c>
      <c r="BE229" s="262">
        <v>0</v>
      </c>
      <c r="BF229" s="262">
        <v>-65173</v>
      </c>
    </row>
    <row r="230" spans="1:58" x14ac:dyDescent="0.3">
      <c r="A230" s="260" t="s">
        <v>991</v>
      </c>
      <c r="B230" s="261" t="s">
        <v>792</v>
      </c>
      <c r="C230" s="262">
        <v>0</v>
      </c>
      <c r="D230" s="262">
        <v>0</v>
      </c>
      <c r="E230" s="262">
        <v>0</v>
      </c>
      <c r="F230" s="262">
        <v>0</v>
      </c>
      <c r="G230" s="262">
        <v>0</v>
      </c>
      <c r="H230" s="262">
        <v>0</v>
      </c>
      <c r="I230" s="262">
        <v>0</v>
      </c>
      <c r="J230" s="262">
        <v>0</v>
      </c>
      <c r="K230" s="262">
        <v>0</v>
      </c>
      <c r="L230" s="262">
        <v>0</v>
      </c>
      <c r="M230" s="262">
        <v>0</v>
      </c>
      <c r="N230" s="262">
        <v>0</v>
      </c>
      <c r="O230" s="262">
        <v>0</v>
      </c>
      <c r="P230" s="262">
        <v>0</v>
      </c>
      <c r="Q230" s="262">
        <v>-90059</v>
      </c>
      <c r="R230" s="262">
        <v>0</v>
      </c>
      <c r="S230" s="262">
        <v>0</v>
      </c>
      <c r="T230" s="262">
        <v>0</v>
      </c>
      <c r="U230" s="262">
        <v>0</v>
      </c>
      <c r="V230" s="262">
        <v>0</v>
      </c>
      <c r="W230" s="262">
        <v>0</v>
      </c>
      <c r="X230" s="262">
        <v>0</v>
      </c>
      <c r="Y230" s="262">
        <v>0</v>
      </c>
      <c r="Z230" s="262">
        <v>0</v>
      </c>
      <c r="AA230" s="262">
        <v>0</v>
      </c>
      <c r="AB230" s="262">
        <v>0</v>
      </c>
      <c r="AC230" s="262">
        <v>0</v>
      </c>
      <c r="AD230" s="262">
        <v>0</v>
      </c>
      <c r="AE230" s="262">
        <v>0</v>
      </c>
      <c r="AF230" s="262">
        <v>0</v>
      </c>
      <c r="AG230" s="262">
        <v>0</v>
      </c>
      <c r="AH230" s="262">
        <v>0</v>
      </c>
      <c r="AI230" s="262">
        <v>0</v>
      </c>
      <c r="AJ230" s="262">
        <v>0</v>
      </c>
      <c r="AK230" s="262">
        <v>0</v>
      </c>
      <c r="AL230" s="262">
        <v>0</v>
      </c>
      <c r="AM230" s="262">
        <v>0</v>
      </c>
      <c r="AN230" s="262">
        <v>0</v>
      </c>
      <c r="AO230" s="262">
        <v>0</v>
      </c>
      <c r="AP230" s="262">
        <v>0</v>
      </c>
      <c r="AQ230" s="262">
        <v>0</v>
      </c>
      <c r="AR230" s="262">
        <v>0</v>
      </c>
      <c r="AS230" s="262">
        <v>0</v>
      </c>
      <c r="AT230" s="262">
        <v>0</v>
      </c>
      <c r="AU230" s="262">
        <v>0</v>
      </c>
      <c r="AV230" s="262">
        <v>0</v>
      </c>
      <c r="AW230" s="262">
        <v>0</v>
      </c>
      <c r="AX230" s="262">
        <v>0</v>
      </c>
      <c r="AY230" s="262">
        <v>0</v>
      </c>
      <c r="AZ230" s="262">
        <v>0</v>
      </c>
      <c r="BA230" s="262">
        <v>0</v>
      </c>
      <c r="BB230" s="262">
        <v>0</v>
      </c>
      <c r="BC230" s="262">
        <v>0</v>
      </c>
      <c r="BD230" s="262">
        <v>0</v>
      </c>
      <c r="BE230" s="262">
        <v>0</v>
      </c>
      <c r="BF230" s="262">
        <v>0</v>
      </c>
    </row>
    <row r="231" spans="1:58" x14ac:dyDescent="0.3">
      <c r="A231" s="260" t="s">
        <v>992</v>
      </c>
      <c r="B231" s="261" t="s">
        <v>792</v>
      </c>
      <c r="C231" s="262">
        <v>0</v>
      </c>
      <c r="D231" s="262">
        <v>0</v>
      </c>
      <c r="E231" s="262">
        <v>0</v>
      </c>
      <c r="F231" s="262">
        <v>0</v>
      </c>
      <c r="G231" s="262">
        <v>0</v>
      </c>
      <c r="H231" s="262">
        <v>0</v>
      </c>
      <c r="I231" s="262">
        <v>0</v>
      </c>
      <c r="J231" s="262">
        <v>0</v>
      </c>
      <c r="K231" s="262">
        <v>0</v>
      </c>
      <c r="L231" s="262">
        <v>0</v>
      </c>
      <c r="M231" s="262">
        <v>0</v>
      </c>
      <c r="N231" s="262">
        <v>0</v>
      </c>
      <c r="O231" s="262">
        <v>0</v>
      </c>
      <c r="P231" s="262">
        <v>0</v>
      </c>
      <c r="Q231" s="262">
        <v>0</v>
      </c>
      <c r="R231" s="262">
        <v>0</v>
      </c>
      <c r="S231" s="262">
        <v>0</v>
      </c>
      <c r="T231" s="262">
        <v>0</v>
      </c>
      <c r="U231" s="262">
        <v>0</v>
      </c>
      <c r="V231" s="262">
        <v>0</v>
      </c>
      <c r="W231" s="262">
        <v>0</v>
      </c>
      <c r="X231" s="262">
        <v>0</v>
      </c>
      <c r="Y231" s="262">
        <v>0</v>
      </c>
      <c r="Z231" s="262">
        <v>0</v>
      </c>
      <c r="AA231" s="262">
        <v>0</v>
      </c>
      <c r="AB231" s="262">
        <v>0</v>
      </c>
      <c r="AC231" s="262">
        <v>0</v>
      </c>
      <c r="AD231" s="262">
        <v>0</v>
      </c>
      <c r="AE231" s="262">
        <v>0</v>
      </c>
      <c r="AF231" s="262">
        <v>0</v>
      </c>
      <c r="AG231" s="262">
        <v>0</v>
      </c>
      <c r="AH231" s="262">
        <v>0</v>
      </c>
      <c r="AI231" s="262">
        <v>0</v>
      </c>
      <c r="AJ231" s="262">
        <v>0</v>
      </c>
      <c r="AK231" s="262">
        <v>0</v>
      </c>
      <c r="AL231" s="262">
        <v>0</v>
      </c>
      <c r="AM231" s="262">
        <v>0</v>
      </c>
      <c r="AN231" s="262">
        <v>0</v>
      </c>
      <c r="AO231" s="262">
        <v>0</v>
      </c>
      <c r="AP231" s="262">
        <v>0</v>
      </c>
      <c r="AQ231" s="262">
        <v>0</v>
      </c>
      <c r="AR231" s="262">
        <v>0</v>
      </c>
      <c r="AS231" s="262">
        <v>0</v>
      </c>
      <c r="AT231" s="262">
        <v>0</v>
      </c>
      <c r="AU231" s="262">
        <v>0</v>
      </c>
      <c r="AV231" s="262">
        <v>0</v>
      </c>
      <c r="AW231" s="262">
        <v>0</v>
      </c>
      <c r="AX231" s="262">
        <v>0</v>
      </c>
      <c r="AY231" s="262">
        <v>0</v>
      </c>
      <c r="AZ231" s="262">
        <v>0</v>
      </c>
      <c r="BA231" s="262">
        <v>0</v>
      </c>
      <c r="BB231" s="262">
        <v>0</v>
      </c>
      <c r="BC231" s="262">
        <v>0</v>
      </c>
      <c r="BD231" s="262">
        <v>0</v>
      </c>
      <c r="BE231" s="262">
        <v>0</v>
      </c>
      <c r="BF231" s="262">
        <v>0</v>
      </c>
    </row>
    <row r="232" spans="1:58" x14ac:dyDescent="0.3">
      <c r="A232" s="260" t="s">
        <v>993</v>
      </c>
      <c r="B232" s="261" t="s">
        <v>792</v>
      </c>
      <c r="C232" s="262">
        <v>7944</v>
      </c>
      <c r="D232" s="262">
        <v>10605</v>
      </c>
      <c r="E232" s="262">
        <v>21213</v>
      </c>
      <c r="F232" s="262">
        <v>26651</v>
      </c>
      <c r="G232" s="262">
        <v>4364</v>
      </c>
      <c r="H232" s="262">
        <v>7009</v>
      </c>
      <c r="I232" s="262">
        <v>8946</v>
      </c>
      <c r="J232" s="262">
        <v>9589</v>
      </c>
      <c r="K232" s="262">
        <v>-89</v>
      </c>
      <c r="L232" s="262">
        <v>24</v>
      </c>
      <c r="M232" s="262">
        <v>-13077</v>
      </c>
      <c r="N232" s="262">
        <v>15005</v>
      </c>
      <c r="O232" s="262">
        <v>23076</v>
      </c>
      <c r="P232" s="262">
        <v>25316</v>
      </c>
      <c r="Q232" s="262">
        <v>643429</v>
      </c>
      <c r="R232" s="262">
        <v>1708468</v>
      </c>
      <c r="S232" s="262">
        <v>0</v>
      </c>
      <c r="T232" s="262">
        <v>74</v>
      </c>
      <c r="U232" s="262">
        <v>12450</v>
      </c>
      <c r="V232" s="262">
        <v>446414</v>
      </c>
      <c r="W232" s="262">
        <v>19747</v>
      </c>
      <c r="X232" s="262">
        <v>-1617</v>
      </c>
      <c r="Y232" s="262">
        <v>9681</v>
      </c>
      <c r="Z232" s="262">
        <v>-163895</v>
      </c>
      <c r="AA232" s="262">
        <v>4139</v>
      </c>
      <c r="AB232" s="262">
        <v>-17352</v>
      </c>
      <c r="AC232" s="262">
        <v>4913</v>
      </c>
      <c r="AD232" s="262">
        <v>-299869</v>
      </c>
      <c r="AE232" s="262">
        <v>-1</v>
      </c>
      <c r="AF232" s="262">
        <v>-42078</v>
      </c>
      <c r="AG232" s="262">
        <v>-40014</v>
      </c>
      <c r="AH232" s="262">
        <v>-51451</v>
      </c>
      <c r="AI232" s="262">
        <v>5830</v>
      </c>
      <c r="AJ232" s="262">
        <v>11332</v>
      </c>
      <c r="AK232" s="262">
        <v>23811</v>
      </c>
      <c r="AL232" s="262">
        <v>30104</v>
      </c>
      <c r="AM232" s="262">
        <v>3386</v>
      </c>
      <c r="AN232" s="262">
        <v>4317</v>
      </c>
      <c r="AO232" s="262">
        <v>125696</v>
      </c>
      <c r="AP232" s="262">
        <v>-595826</v>
      </c>
      <c r="AQ232" s="262">
        <v>-86137</v>
      </c>
      <c r="AR232" s="262">
        <v>-85333</v>
      </c>
      <c r="AS232" s="262">
        <v>-103983</v>
      </c>
      <c r="AT232" s="262">
        <v>-594948</v>
      </c>
      <c r="AU232" s="262">
        <v>7137</v>
      </c>
      <c r="AV232" s="262">
        <v>51150</v>
      </c>
      <c r="AW232" s="262">
        <v>-21163</v>
      </c>
      <c r="AX232" s="262">
        <v>-37250</v>
      </c>
      <c r="AY232" s="262">
        <v>-14689</v>
      </c>
      <c r="AZ232" s="262">
        <v>82538</v>
      </c>
      <c r="BA232" s="262">
        <v>21386</v>
      </c>
      <c r="BB232" s="262">
        <v>-293848</v>
      </c>
      <c r="BC232" s="262">
        <v>52580</v>
      </c>
      <c r="BD232" s="262">
        <v>86751</v>
      </c>
      <c r="BE232" s="262">
        <v>228900</v>
      </c>
      <c r="BF232" s="262">
        <v>-31123</v>
      </c>
    </row>
    <row r="233" spans="1:58" x14ac:dyDescent="0.3">
      <c r="A233" s="258" t="s">
        <v>994</v>
      </c>
      <c r="B233" s="264" t="s">
        <v>792</v>
      </c>
      <c r="C233" s="259">
        <v>-24464</v>
      </c>
      <c r="D233" s="259">
        <v>-31576</v>
      </c>
      <c r="E233" s="259">
        <v>-40041</v>
      </c>
      <c r="F233" s="259">
        <v>-2031651</v>
      </c>
      <c r="G233" s="259">
        <v>-7731</v>
      </c>
      <c r="H233" s="259">
        <v>-66412</v>
      </c>
      <c r="I233" s="259">
        <v>-56602</v>
      </c>
      <c r="J233" s="259">
        <v>-18376</v>
      </c>
      <c r="K233" s="259">
        <v>-1806900</v>
      </c>
      <c r="L233" s="259">
        <v>-52339</v>
      </c>
      <c r="M233" s="259">
        <v>15420</v>
      </c>
      <c r="N233" s="259">
        <v>75164</v>
      </c>
      <c r="O233" s="259">
        <v>-26338</v>
      </c>
      <c r="P233" s="259">
        <v>14050</v>
      </c>
      <c r="Q233" s="259">
        <v>-46960</v>
      </c>
      <c r="R233" s="259">
        <v>204</v>
      </c>
      <c r="S233" s="259">
        <v>89052</v>
      </c>
      <c r="T233" s="259">
        <v>477</v>
      </c>
      <c r="U233" s="259">
        <v>-5126</v>
      </c>
      <c r="V233" s="259">
        <v>-37677</v>
      </c>
      <c r="W233" s="259">
        <v>-47256</v>
      </c>
      <c r="X233" s="259">
        <v>-80247</v>
      </c>
      <c r="Y233" s="259">
        <v>-221467</v>
      </c>
      <c r="Z233" s="259">
        <v>-80887</v>
      </c>
      <c r="AA233" s="259">
        <v>75513</v>
      </c>
      <c r="AB233" s="259">
        <v>79621</v>
      </c>
      <c r="AC233" s="259">
        <v>61761</v>
      </c>
      <c r="AD233" s="259">
        <v>95440</v>
      </c>
      <c r="AE233" s="259">
        <v>-27088</v>
      </c>
      <c r="AF233" s="259">
        <v>-40450</v>
      </c>
      <c r="AG233" s="259">
        <v>-36711</v>
      </c>
      <c r="AH233" s="259">
        <v>-18602</v>
      </c>
      <c r="AI233" s="259">
        <v>-35318</v>
      </c>
      <c r="AJ233" s="259">
        <v>-44689</v>
      </c>
      <c r="AK233" s="259">
        <v>-23699</v>
      </c>
      <c r="AL233" s="259">
        <v>-12204</v>
      </c>
      <c r="AM233" s="259">
        <v>15185</v>
      </c>
      <c r="AN233" s="259">
        <v>44996</v>
      </c>
      <c r="AO233" s="259">
        <v>-26396</v>
      </c>
      <c r="AP233" s="259">
        <v>-330974</v>
      </c>
      <c r="AQ233" s="259">
        <v>98065</v>
      </c>
      <c r="AR233" s="259">
        <v>150992</v>
      </c>
      <c r="AS233" s="259">
        <v>288953</v>
      </c>
      <c r="AT233" s="259">
        <v>226429</v>
      </c>
      <c r="AU233" s="259">
        <v>223068</v>
      </c>
      <c r="AV233" s="259">
        <v>-97188</v>
      </c>
      <c r="AW233" s="259">
        <v>-57817</v>
      </c>
      <c r="AX233" s="259">
        <v>-692112</v>
      </c>
      <c r="AY233" s="259">
        <v>-177655</v>
      </c>
      <c r="AZ233" s="259">
        <v>-346447</v>
      </c>
      <c r="BA233" s="259">
        <v>-505318</v>
      </c>
      <c r="BB233" s="259">
        <v>331420</v>
      </c>
      <c r="BC233" s="259">
        <v>-1993975</v>
      </c>
      <c r="BD233" s="259">
        <v>-1124977</v>
      </c>
      <c r="BE233" s="259">
        <v>-1765227</v>
      </c>
      <c r="BF233" s="259">
        <v>-2040161</v>
      </c>
    </row>
    <row r="234" spans="1:58" x14ac:dyDescent="0.3">
      <c r="A234" s="260" t="s">
        <v>995</v>
      </c>
      <c r="B234" s="261" t="s">
        <v>792</v>
      </c>
      <c r="C234" s="262">
        <v>6009</v>
      </c>
      <c r="D234" s="262">
        <v>3230</v>
      </c>
      <c r="E234" s="262">
        <v>6069</v>
      </c>
      <c r="F234" s="262">
        <v>6075</v>
      </c>
      <c r="G234" s="262">
        <v>1743</v>
      </c>
      <c r="H234" s="262">
        <v>-12355</v>
      </c>
      <c r="I234" s="262">
        <v>-80812</v>
      </c>
      <c r="J234" s="262">
        <v>562</v>
      </c>
      <c r="K234" s="262">
        <v>-1820528</v>
      </c>
      <c r="L234" s="262">
        <v>0</v>
      </c>
      <c r="M234" s="262">
        <v>0</v>
      </c>
      <c r="N234" s="262">
        <v>-1995</v>
      </c>
      <c r="O234" s="262">
        <v>1320</v>
      </c>
      <c r="P234" s="262">
        <v>1597</v>
      </c>
      <c r="Q234" s="262">
        <v>1906</v>
      </c>
      <c r="R234" s="262">
        <v>2388</v>
      </c>
      <c r="S234" s="262">
        <v>-14059</v>
      </c>
      <c r="T234" s="262">
        <v>-19874</v>
      </c>
      <c r="U234" s="262">
        <v>-18605</v>
      </c>
      <c r="V234" s="262">
        <v>-846</v>
      </c>
      <c r="W234" s="262">
        <v>71</v>
      </c>
      <c r="X234" s="262">
        <v>-1862</v>
      </c>
      <c r="Y234" s="262">
        <v>-267017</v>
      </c>
      <c r="Z234" s="262">
        <v>-110013</v>
      </c>
      <c r="AA234" s="262">
        <v>102821</v>
      </c>
      <c r="AB234" s="262">
        <v>119642</v>
      </c>
      <c r="AC234" s="262">
        <v>81282</v>
      </c>
      <c r="AD234" s="262">
        <v>164960</v>
      </c>
      <c r="AE234" s="262">
        <v>6813</v>
      </c>
      <c r="AF234" s="262">
        <v>-30059</v>
      </c>
      <c r="AG234" s="262">
        <v>-3779</v>
      </c>
      <c r="AH234" s="262">
        <v>-12303</v>
      </c>
      <c r="AI234" s="262">
        <v>-1514</v>
      </c>
      <c r="AJ234" s="262">
        <v>-20734</v>
      </c>
      <c r="AK234" s="262">
        <v>16188</v>
      </c>
      <c r="AL234" s="262">
        <v>18009</v>
      </c>
      <c r="AM234" s="262">
        <v>17070</v>
      </c>
      <c r="AN234" s="262">
        <v>-581</v>
      </c>
      <c r="AO234" s="262">
        <v>-49944</v>
      </c>
      <c r="AP234" s="262">
        <v>-335770</v>
      </c>
      <c r="AQ234" s="262">
        <v>182992</v>
      </c>
      <c r="AR234" s="262">
        <v>186482</v>
      </c>
      <c r="AS234" s="262">
        <v>217467</v>
      </c>
      <c r="AT234" s="262">
        <v>31557</v>
      </c>
      <c r="AU234" s="262">
        <v>377596</v>
      </c>
      <c r="AV234" s="262">
        <v>49280</v>
      </c>
      <c r="AW234" s="262">
        <v>103914</v>
      </c>
      <c r="AX234" s="262">
        <v>-503581</v>
      </c>
      <c r="AY234" s="262">
        <v>29089</v>
      </c>
      <c r="AZ234" s="262">
        <v>-49861</v>
      </c>
      <c r="BA234" s="262">
        <v>-155261</v>
      </c>
      <c r="BB234" s="262">
        <v>731806</v>
      </c>
      <c r="BC234" s="262">
        <v>-1946769</v>
      </c>
      <c r="BD234" s="262">
        <v>-1074506</v>
      </c>
      <c r="BE234" s="262">
        <v>-1331715</v>
      </c>
      <c r="BF234" s="262">
        <v>-1459931</v>
      </c>
    </row>
    <row r="235" spans="1:58" x14ac:dyDescent="0.3">
      <c r="A235" s="260" t="s">
        <v>996</v>
      </c>
      <c r="B235" s="261" t="s">
        <v>792</v>
      </c>
      <c r="C235" s="262">
        <v>0</v>
      </c>
      <c r="D235" s="262">
        <v>0</v>
      </c>
      <c r="E235" s="262">
        <v>0</v>
      </c>
      <c r="F235" s="262">
        <v>0</v>
      </c>
      <c r="G235" s="262">
        <v>0</v>
      </c>
      <c r="H235" s="262">
        <v>0</v>
      </c>
      <c r="I235" s="262">
        <v>0</v>
      </c>
      <c r="J235" s="262">
        <v>0</v>
      </c>
      <c r="K235" s="262">
        <v>0</v>
      </c>
      <c r="L235" s="262">
        <v>0</v>
      </c>
      <c r="M235" s="262">
        <v>0</v>
      </c>
      <c r="N235" s="262">
        <v>0</v>
      </c>
      <c r="O235" s="262">
        <v>0</v>
      </c>
      <c r="P235" s="262">
        <v>0</v>
      </c>
      <c r="Q235" s="262">
        <v>0</v>
      </c>
      <c r="R235" s="262">
        <v>0</v>
      </c>
      <c r="S235" s="262">
        <v>23271</v>
      </c>
      <c r="T235" s="262">
        <v>-8256</v>
      </c>
      <c r="U235" s="262">
        <v>-5851</v>
      </c>
      <c r="V235" s="262">
        <v>-5646</v>
      </c>
      <c r="W235" s="262">
        <v>-61433</v>
      </c>
      <c r="X235" s="262">
        <v>-44863</v>
      </c>
      <c r="Y235" s="262">
        <v>-4197</v>
      </c>
      <c r="Z235" s="262">
        <v>-30969</v>
      </c>
      <c r="AA235" s="262">
        <v>-35722</v>
      </c>
      <c r="AB235" s="262">
        <v>-24827</v>
      </c>
      <c r="AC235" s="262">
        <v>8057</v>
      </c>
      <c r="AD235" s="262">
        <v>9909</v>
      </c>
      <c r="AE235" s="262">
        <v>-28977</v>
      </c>
      <c r="AF235" s="262">
        <v>-10897</v>
      </c>
      <c r="AG235" s="262">
        <v>-24772</v>
      </c>
      <c r="AH235" s="262">
        <v>-7323</v>
      </c>
      <c r="AI235" s="262">
        <v>-25819</v>
      </c>
      <c r="AJ235" s="262">
        <v>-32746</v>
      </c>
      <c r="AK235" s="262">
        <v>-34671</v>
      </c>
      <c r="AL235" s="262">
        <v>-14638</v>
      </c>
      <c r="AM235" s="262">
        <v>-14401</v>
      </c>
      <c r="AN235" s="262">
        <v>21883</v>
      </c>
      <c r="AO235" s="262">
        <v>26968</v>
      </c>
      <c r="AP235" s="262">
        <v>59465</v>
      </c>
      <c r="AQ235" s="262">
        <v>6017</v>
      </c>
      <c r="AR235" s="262">
        <v>-51684</v>
      </c>
      <c r="AS235" s="262">
        <v>-113256</v>
      </c>
      <c r="AT235" s="262">
        <v>-31345</v>
      </c>
      <c r="AU235" s="262">
        <v>-86788</v>
      </c>
      <c r="AV235" s="262">
        <v>-101538</v>
      </c>
      <c r="AW235" s="262">
        <v>-116378</v>
      </c>
      <c r="AX235" s="262">
        <v>-51033</v>
      </c>
      <c r="AY235" s="262">
        <v>-75001</v>
      </c>
      <c r="AZ235" s="262">
        <v>-29638</v>
      </c>
      <c r="BA235" s="262">
        <v>-57164</v>
      </c>
      <c r="BB235" s="262">
        <v>-223015</v>
      </c>
      <c r="BC235" s="262">
        <v>237537</v>
      </c>
      <c r="BD235" s="262">
        <v>150307</v>
      </c>
      <c r="BE235" s="262">
        <v>143677</v>
      </c>
      <c r="BF235" s="262">
        <v>213845</v>
      </c>
    </row>
    <row r="236" spans="1:58" x14ac:dyDescent="0.3">
      <c r="A236" s="260" t="s">
        <v>997</v>
      </c>
      <c r="B236" s="261" t="s">
        <v>792</v>
      </c>
      <c r="C236" s="262">
        <v>-26810</v>
      </c>
      <c r="D236" s="262">
        <v>-41459</v>
      </c>
      <c r="E236" s="262">
        <v>-41842</v>
      </c>
      <c r="F236" s="262">
        <v>-2049583</v>
      </c>
      <c r="G236" s="262">
        <v>-32656</v>
      </c>
      <c r="H236" s="262">
        <v>-61696</v>
      </c>
      <c r="I236" s="262">
        <v>-20183</v>
      </c>
      <c r="J236" s="262">
        <v>-59251</v>
      </c>
      <c r="K236" s="262">
        <v>-18213</v>
      </c>
      <c r="L236" s="262">
        <v>-18234</v>
      </c>
      <c r="M236" s="262">
        <v>-8927</v>
      </c>
      <c r="N236" s="262">
        <v>-6497</v>
      </c>
      <c r="O236" s="262">
        <v>-10766</v>
      </c>
      <c r="P236" s="262">
        <v>-72306</v>
      </c>
      <c r="Q236" s="262">
        <v>-82285</v>
      </c>
      <c r="R236" s="262">
        <v>4025</v>
      </c>
      <c r="S236" s="262">
        <v>-7872</v>
      </c>
      <c r="T236" s="262">
        <v>-30904</v>
      </c>
      <c r="U236" s="262">
        <v>-40187</v>
      </c>
      <c r="V236" s="262">
        <v>-18401</v>
      </c>
      <c r="W236" s="262">
        <v>-4232</v>
      </c>
      <c r="X236" s="262">
        <v>-8155</v>
      </c>
      <c r="Y236" s="262">
        <v>-1397</v>
      </c>
      <c r="Z236" s="262">
        <v>-11705</v>
      </c>
      <c r="AA236" s="262">
        <v>-12897</v>
      </c>
      <c r="AB236" s="262">
        <v>-8817</v>
      </c>
      <c r="AC236" s="262">
        <v>-3730</v>
      </c>
      <c r="AD236" s="262">
        <v>-62813</v>
      </c>
      <c r="AE236" s="262">
        <v>4947</v>
      </c>
      <c r="AF236" s="262">
        <v>6115</v>
      </c>
      <c r="AG236" s="262">
        <v>-603</v>
      </c>
      <c r="AH236" s="262">
        <v>-3239</v>
      </c>
      <c r="AI236" s="262">
        <v>1037</v>
      </c>
      <c r="AJ236" s="262">
        <v>-1562</v>
      </c>
      <c r="AK236" s="262">
        <v>1385</v>
      </c>
      <c r="AL236" s="262">
        <v>15770</v>
      </c>
      <c r="AM236" s="262">
        <v>-6727</v>
      </c>
      <c r="AN236" s="262">
        <v>7986</v>
      </c>
      <c r="AO236" s="262">
        <v>12233</v>
      </c>
      <c r="AP236" s="262">
        <v>-43552</v>
      </c>
      <c r="AQ236" s="262">
        <v>-16514</v>
      </c>
      <c r="AR236" s="262">
        <v>-4245</v>
      </c>
      <c r="AS236" s="262">
        <v>-17451</v>
      </c>
      <c r="AT236" s="262">
        <v>-7622</v>
      </c>
      <c r="AU236" s="262">
        <v>23533</v>
      </c>
      <c r="AV236" s="262">
        <v>49144</v>
      </c>
      <c r="AW236" s="262">
        <v>-10172</v>
      </c>
      <c r="AX236" s="262">
        <v>-29291</v>
      </c>
      <c r="AY236" s="262">
        <v>-14071</v>
      </c>
      <c r="AZ236" s="262">
        <v>-148832</v>
      </c>
      <c r="BA236" s="262">
        <v>-7846</v>
      </c>
      <c r="BB236" s="262">
        <v>4415</v>
      </c>
      <c r="BC236" s="262">
        <v>27108</v>
      </c>
      <c r="BD236" s="262">
        <v>117838</v>
      </c>
      <c r="BE236" s="262">
        <v>-92114</v>
      </c>
      <c r="BF236" s="262">
        <v>-245903</v>
      </c>
    </row>
    <row r="237" spans="1:58" x14ac:dyDescent="0.3">
      <c r="A237" s="260" t="s">
        <v>998</v>
      </c>
      <c r="B237" s="261" t="s">
        <v>792</v>
      </c>
      <c r="C237" s="262">
        <v>1003</v>
      </c>
      <c r="D237" s="262">
        <v>11129</v>
      </c>
      <c r="E237" s="262">
        <v>2437</v>
      </c>
      <c r="F237" s="262">
        <v>7720</v>
      </c>
      <c r="G237" s="262">
        <v>14428</v>
      </c>
      <c r="H237" s="262">
        <v>3601</v>
      </c>
      <c r="I237" s="262">
        <v>38330</v>
      </c>
      <c r="J237" s="262">
        <v>46466</v>
      </c>
      <c r="K237" s="262">
        <v>21105</v>
      </c>
      <c r="L237" s="262">
        <v>-24057</v>
      </c>
      <c r="M237" s="262">
        <v>15564</v>
      </c>
      <c r="N237" s="262">
        <v>47145</v>
      </c>
      <c r="O237" s="262">
        <v>19178</v>
      </c>
      <c r="P237" s="262">
        <v>91656</v>
      </c>
      <c r="Q237" s="262">
        <v>94560</v>
      </c>
      <c r="R237" s="262">
        <v>-38125</v>
      </c>
      <c r="S237" s="262">
        <v>112324</v>
      </c>
      <c r="T237" s="262">
        <v>41818</v>
      </c>
      <c r="U237" s="262">
        <v>46266</v>
      </c>
      <c r="V237" s="262">
        <v>-145</v>
      </c>
      <c r="W237" s="262">
        <v>5466</v>
      </c>
      <c r="X237" s="262">
        <v>-27451</v>
      </c>
      <c r="Y237" s="262">
        <v>12071</v>
      </c>
      <c r="Z237" s="262">
        <v>11240</v>
      </c>
      <c r="AA237" s="262">
        <v>21074</v>
      </c>
      <c r="AB237" s="262">
        <v>338</v>
      </c>
      <c r="AC237" s="262">
        <v>-13794</v>
      </c>
      <c r="AD237" s="262">
        <v>-498</v>
      </c>
      <c r="AE237" s="262">
        <v>-2738</v>
      </c>
      <c r="AF237" s="262">
        <v>-1332</v>
      </c>
      <c r="AG237" s="262">
        <v>6465</v>
      </c>
      <c r="AH237" s="262">
        <v>12928</v>
      </c>
      <c r="AI237" s="262">
        <v>711</v>
      </c>
      <c r="AJ237" s="262">
        <v>14754</v>
      </c>
      <c r="AK237" s="262">
        <v>12722</v>
      </c>
      <c r="AL237" s="262">
        <v>-3613</v>
      </c>
      <c r="AM237" s="262">
        <v>22101</v>
      </c>
      <c r="AN237" s="262">
        <v>30081</v>
      </c>
      <c r="AO237" s="262">
        <v>30142</v>
      </c>
      <c r="AP237" s="262">
        <v>-35543</v>
      </c>
      <c r="AQ237" s="262">
        <v>-8906</v>
      </c>
      <c r="AR237" s="262">
        <v>19263</v>
      </c>
      <c r="AS237" s="262">
        <v>153510</v>
      </c>
      <c r="AT237" s="262">
        <v>80863</v>
      </c>
      <c r="AU237" s="262">
        <v>-103950</v>
      </c>
      <c r="AV237" s="262">
        <v>-51161</v>
      </c>
      <c r="AW237" s="262">
        <v>-14037</v>
      </c>
      <c r="AX237" s="262">
        <v>63670</v>
      </c>
      <c r="AY237" s="262">
        <v>41468</v>
      </c>
      <c r="AZ237" s="262">
        <v>81250</v>
      </c>
      <c r="BA237" s="262">
        <v>149097</v>
      </c>
      <c r="BB237" s="262">
        <v>396785</v>
      </c>
      <c r="BC237" s="262">
        <v>-233067</v>
      </c>
      <c r="BD237" s="262">
        <v>-147934</v>
      </c>
      <c r="BE237" s="262">
        <v>-303405</v>
      </c>
      <c r="BF237" s="262">
        <v>-79935</v>
      </c>
    </row>
    <row r="238" spans="1:58" x14ac:dyDescent="0.3">
      <c r="A238" s="260" t="s">
        <v>999</v>
      </c>
      <c r="B238" s="261" t="s">
        <v>792</v>
      </c>
      <c r="C238" s="262">
        <v>-5634</v>
      </c>
      <c r="D238" s="262">
        <v>-3401</v>
      </c>
      <c r="E238" s="262">
        <v>-1344</v>
      </c>
      <c r="F238" s="262">
        <v>-2940</v>
      </c>
      <c r="G238" s="262">
        <v>4864</v>
      </c>
      <c r="H238" s="262">
        <v>10136</v>
      </c>
      <c r="I238" s="262">
        <v>12760</v>
      </c>
      <c r="J238" s="262">
        <v>-6153</v>
      </c>
      <c r="K238" s="262">
        <v>10736</v>
      </c>
      <c r="L238" s="262">
        <v>-8151</v>
      </c>
      <c r="M238" s="262">
        <v>8783</v>
      </c>
      <c r="N238" s="262">
        <v>36511</v>
      </c>
      <c r="O238" s="262">
        <v>-36070</v>
      </c>
      <c r="P238" s="262">
        <v>-6897</v>
      </c>
      <c r="Q238" s="262">
        <v>-61141</v>
      </c>
      <c r="R238" s="262">
        <v>6020</v>
      </c>
      <c r="S238" s="262">
        <v>654</v>
      </c>
      <c r="T238" s="262">
        <v>-1324</v>
      </c>
      <c r="U238" s="262">
        <v>13251</v>
      </c>
      <c r="V238" s="262">
        <v>-19580</v>
      </c>
      <c r="W238" s="262">
        <v>1928</v>
      </c>
      <c r="X238" s="262">
        <v>-1592</v>
      </c>
      <c r="Y238" s="262">
        <v>1093</v>
      </c>
      <c r="Z238" s="262">
        <v>1273</v>
      </c>
      <c r="AA238" s="262">
        <v>237</v>
      </c>
      <c r="AB238" s="262">
        <v>-5891</v>
      </c>
      <c r="AC238" s="262">
        <v>-8840</v>
      </c>
      <c r="AD238" s="262">
        <v>-11429</v>
      </c>
      <c r="AE238" s="262">
        <v>-7141</v>
      </c>
      <c r="AF238" s="262">
        <v>-7816</v>
      </c>
      <c r="AG238" s="262">
        <v>-17072</v>
      </c>
      <c r="AH238" s="262">
        <v>-8478</v>
      </c>
      <c r="AI238" s="262">
        <v>-9192</v>
      </c>
      <c r="AJ238" s="262">
        <v>-3036</v>
      </c>
      <c r="AK238" s="262">
        <v>-16056</v>
      </c>
      <c r="AL238" s="262">
        <v>-26457</v>
      </c>
      <c r="AM238" s="262">
        <v>-5865</v>
      </c>
      <c r="AN238" s="262">
        <v>8990</v>
      </c>
      <c r="AO238" s="262">
        <v>12024</v>
      </c>
      <c r="AP238" s="262">
        <v>16227</v>
      </c>
      <c r="AQ238" s="262">
        <v>-21983</v>
      </c>
      <c r="AR238" s="262">
        <v>-45136</v>
      </c>
      <c r="AS238" s="262">
        <v>-35708</v>
      </c>
      <c r="AT238" s="262">
        <v>-66652</v>
      </c>
      <c r="AU238" s="262">
        <v>-67259</v>
      </c>
      <c r="AV238" s="262">
        <v>-123748</v>
      </c>
      <c r="AW238" s="262">
        <v>-87561</v>
      </c>
      <c r="AX238" s="262">
        <v>-120433</v>
      </c>
      <c r="AY238" s="262">
        <v>-137006</v>
      </c>
      <c r="AZ238" s="262">
        <v>-170524</v>
      </c>
      <c r="BA238" s="262">
        <v>-434064</v>
      </c>
      <c r="BB238" s="262">
        <v>-585792</v>
      </c>
      <c r="BC238" s="262">
        <v>-64435</v>
      </c>
      <c r="BD238" s="262">
        <v>-160105</v>
      </c>
      <c r="BE238" s="262">
        <v>-224615</v>
      </c>
      <c r="BF238" s="262">
        <v>-344725</v>
      </c>
    </row>
    <row r="239" spans="1:58" x14ac:dyDescent="0.3">
      <c r="A239" s="260" t="s">
        <v>1000</v>
      </c>
      <c r="B239" s="261" t="s">
        <v>792</v>
      </c>
      <c r="C239" s="262">
        <v>968</v>
      </c>
      <c r="D239" s="262">
        <v>-1075</v>
      </c>
      <c r="E239" s="262">
        <v>-5361</v>
      </c>
      <c r="F239" s="262">
        <v>7077</v>
      </c>
      <c r="G239" s="262">
        <v>3890</v>
      </c>
      <c r="H239" s="262">
        <v>-6098</v>
      </c>
      <c r="I239" s="262">
        <v>-6697</v>
      </c>
      <c r="J239" s="262">
        <v>0</v>
      </c>
      <c r="K239" s="262">
        <v>0</v>
      </c>
      <c r="L239" s="262">
        <v>-1897</v>
      </c>
      <c r="M239" s="262">
        <v>0</v>
      </c>
      <c r="N239" s="262">
        <v>0</v>
      </c>
      <c r="O239" s="262">
        <v>0</v>
      </c>
      <c r="P239" s="262">
        <v>0</v>
      </c>
      <c r="Q239" s="262">
        <v>0</v>
      </c>
      <c r="R239" s="262">
        <v>25896</v>
      </c>
      <c r="S239" s="262">
        <v>-25266</v>
      </c>
      <c r="T239" s="262">
        <v>19017</v>
      </c>
      <c r="U239" s="262">
        <v>0</v>
      </c>
      <c r="V239" s="262">
        <v>6941</v>
      </c>
      <c r="W239" s="262">
        <v>10944</v>
      </c>
      <c r="X239" s="262">
        <v>3676</v>
      </c>
      <c r="Y239" s="262">
        <v>37980</v>
      </c>
      <c r="Z239" s="262">
        <v>59287</v>
      </c>
      <c r="AA239" s="262">
        <v>0</v>
      </c>
      <c r="AB239" s="262">
        <v>-824</v>
      </c>
      <c r="AC239" s="262">
        <v>-1214</v>
      </c>
      <c r="AD239" s="262">
        <v>-4689</v>
      </c>
      <c r="AE239" s="262">
        <v>8</v>
      </c>
      <c r="AF239" s="262">
        <v>3539</v>
      </c>
      <c r="AG239" s="262">
        <v>3050</v>
      </c>
      <c r="AH239" s="262">
        <v>-187</v>
      </c>
      <c r="AI239" s="262">
        <v>-541</v>
      </c>
      <c r="AJ239" s="262">
        <v>-1365</v>
      </c>
      <c r="AK239" s="262">
        <v>-3267</v>
      </c>
      <c r="AL239" s="262">
        <v>-1275</v>
      </c>
      <c r="AM239" s="262">
        <v>3007</v>
      </c>
      <c r="AN239" s="262">
        <v>-23363</v>
      </c>
      <c r="AO239" s="262">
        <v>-57819</v>
      </c>
      <c r="AP239" s="262">
        <v>8199</v>
      </c>
      <c r="AQ239" s="262">
        <v>-43541</v>
      </c>
      <c r="AR239" s="262">
        <v>46312</v>
      </c>
      <c r="AS239" s="262">
        <v>84391</v>
      </c>
      <c r="AT239" s="262">
        <v>219628</v>
      </c>
      <c r="AU239" s="262">
        <v>79936</v>
      </c>
      <c r="AV239" s="262">
        <v>80835</v>
      </c>
      <c r="AW239" s="262">
        <v>66417</v>
      </c>
      <c r="AX239" s="262">
        <v>-51444</v>
      </c>
      <c r="AY239" s="262">
        <v>-22134</v>
      </c>
      <c r="AZ239" s="262">
        <v>-28842</v>
      </c>
      <c r="BA239" s="262">
        <v>-80</v>
      </c>
      <c r="BB239" s="262">
        <v>7221</v>
      </c>
      <c r="BC239" s="262">
        <v>-14349</v>
      </c>
      <c r="BD239" s="262">
        <v>-10577</v>
      </c>
      <c r="BE239" s="262">
        <v>42945</v>
      </c>
      <c r="BF239" s="262">
        <v>-123512</v>
      </c>
    </row>
    <row r="240" spans="1:58" x14ac:dyDescent="0.3">
      <c r="A240" s="258" t="s">
        <v>1001</v>
      </c>
      <c r="B240" s="264" t="s">
        <v>792</v>
      </c>
      <c r="C240" s="259">
        <v>0</v>
      </c>
      <c r="D240" s="259">
        <v>0</v>
      </c>
      <c r="E240" s="259">
        <v>0</v>
      </c>
      <c r="F240" s="259">
        <v>-1848</v>
      </c>
      <c r="G240" s="259">
        <v>641</v>
      </c>
      <c r="H240" s="259">
        <v>303</v>
      </c>
      <c r="I240" s="259">
        <v>411</v>
      </c>
      <c r="J240" s="259">
        <v>-5188</v>
      </c>
      <c r="K240" s="259">
        <v>-2934</v>
      </c>
      <c r="L240" s="259">
        <v>0</v>
      </c>
      <c r="M240" s="259">
        <v>-3366</v>
      </c>
      <c r="N240" s="259">
        <v>-65</v>
      </c>
      <c r="O240" s="259">
        <v>-5495</v>
      </c>
      <c r="P240" s="259">
        <v>-3524</v>
      </c>
      <c r="Q240" s="259">
        <v>7731</v>
      </c>
      <c r="R240" s="259">
        <v>-2816</v>
      </c>
      <c r="S240" s="259">
        <v>30857</v>
      </c>
      <c r="T240" s="259">
        <v>13427</v>
      </c>
      <c r="U240" s="259">
        <v>5150</v>
      </c>
      <c r="V240" s="259">
        <v>542</v>
      </c>
      <c r="W240" s="259">
        <v>26637</v>
      </c>
      <c r="X240" s="259">
        <v>-1198</v>
      </c>
      <c r="Y240" s="259">
        <v>-1004</v>
      </c>
      <c r="Z240" s="259">
        <v>-590</v>
      </c>
      <c r="AA240" s="259">
        <v>-182</v>
      </c>
      <c r="AB240" s="259">
        <v>-2847</v>
      </c>
      <c r="AC240" s="259">
        <v>-2591</v>
      </c>
      <c r="AD240" s="259">
        <v>-555</v>
      </c>
      <c r="AE240" s="259">
        <v>2297</v>
      </c>
      <c r="AF240" s="259">
        <v>-1425</v>
      </c>
      <c r="AG240" s="259">
        <v>-1367</v>
      </c>
      <c r="AH240" s="259">
        <v>12026</v>
      </c>
      <c r="AI240" s="259">
        <v>-11773</v>
      </c>
      <c r="AJ240" s="259">
        <v>-11975</v>
      </c>
      <c r="AK240" s="259">
        <v>-12251</v>
      </c>
      <c r="AL240" s="259">
        <v>4022</v>
      </c>
      <c r="AM240" s="259">
        <v>-16260</v>
      </c>
      <c r="AN240" s="259">
        <v>-14082</v>
      </c>
      <c r="AO240" s="259">
        <v>-14953</v>
      </c>
      <c r="AP240" s="259">
        <v>-1571</v>
      </c>
      <c r="AQ240" s="259">
        <v>-12178</v>
      </c>
      <c r="AR240" s="259">
        <v>-20167</v>
      </c>
      <c r="AS240" s="259">
        <v>-23173</v>
      </c>
      <c r="AT240" s="259">
        <v>-12199</v>
      </c>
      <c r="AU240" s="259">
        <v>-612</v>
      </c>
      <c r="AV240" s="259">
        <v>-743</v>
      </c>
      <c r="AW240" s="259">
        <v>134</v>
      </c>
      <c r="AX240" s="259">
        <v>-1111</v>
      </c>
      <c r="AY240" s="259">
        <v>1004</v>
      </c>
      <c r="AZ240" s="259">
        <v>1916</v>
      </c>
      <c r="BA240" s="259">
        <v>-1342</v>
      </c>
      <c r="BB240" s="259">
        <v>4161</v>
      </c>
      <c r="BC240" s="259">
        <v>12889</v>
      </c>
      <c r="BD240" s="259">
        <v>-5465</v>
      </c>
      <c r="BE240" s="259">
        <v>-7393</v>
      </c>
      <c r="BF240" s="259">
        <v>34014</v>
      </c>
    </row>
    <row r="241" spans="1:58" x14ac:dyDescent="0.3">
      <c r="A241" s="255" t="s">
        <v>1002</v>
      </c>
      <c r="B241" s="257">
        <v>-83670</v>
      </c>
      <c r="C241" s="257">
        <v>40780</v>
      </c>
      <c r="D241" s="257">
        <v>66223</v>
      </c>
      <c r="E241" s="257">
        <v>99722</v>
      </c>
      <c r="F241" s="257">
        <v>-131067</v>
      </c>
      <c r="G241" s="257">
        <v>57780</v>
      </c>
      <c r="H241" s="257">
        <v>126529</v>
      </c>
      <c r="I241" s="257">
        <v>311832</v>
      </c>
      <c r="J241" s="257">
        <v>378206</v>
      </c>
      <c r="K241" s="257">
        <v>1756206</v>
      </c>
      <c r="L241" s="257">
        <v>135620</v>
      </c>
      <c r="M241" s="257">
        <v>202381</v>
      </c>
      <c r="N241" s="257">
        <v>207005</v>
      </c>
      <c r="O241" s="257">
        <v>117242</v>
      </c>
      <c r="P241" s="257">
        <v>-2433</v>
      </c>
      <c r="Q241" s="257">
        <v>185844</v>
      </c>
      <c r="R241" s="257">
        <v>223935</v>
      </c>
      <c r="S241" s="257">
        <v>79201</v>
      </c>
      <c r="T241" s="257">
        <v>268746</v>
      </c>
      <c r="U241" s="257">
        <v>357565</v>
      </c>
      <c r="V241" s="257">
        <v>222858</v>
      </c>
      <c r="W241" s="257">
        <v>-7228</v>
      </c>
      <c r="X241" s="257">
        <v>14610</v>
      </c>
      <c r="Y241" s="257">
        <v>-48621</v>
      </c>
      <c r="Z241" s="257">
        <v>-17367</v>
      </c>
      <c r="AA241" s="257">
        <v>-163305</v>
      </c>
      <c r="AB241" s="257">
        <v>-282995</v>
      </c>
      <c r="AC241" s="257">
        <v>-303750</v>
      </c>
      <c r="AD241" s="257">
        <v>-391101</v>
      </c>
      <c r="AE241" s="257">
        <v>-110650</v>
      </c>
      <c r="AF241" s="257">
        <v>-83207</v>
      </c>
      <c r="AG241" s="257">
        <v>-46896</v>
      </c>
      <c r="AH241" s="257">
        <v>174</v>
      </c>
      <c r="AI241" s="257">
        <v>34632</v>
      </c>
      <c r="AJ241" s="257">
        <v>-182290</v>
      </c>
      <c r="AK241" s="257">
        <v>-117220</v>
      </c>
      <c r="AL241" s="257">
        <v>-338004</v>
      </c>
      <c r="AM241" s="257">
        <v>-1107043</v>
      </c>
      <c r="AN241" s="257">
        <v>-1181035</v>
      </c>
      <c r="AO241" s="257">
        <v>-1243758</v>
      </c>
      <c r="AP241" s="257">
        <v>-1383308</v>
      </c>
      <c r="AQ241" s="257">
        <v>-693448</v>
      </c>
      <c r="AR241" s="257">
        <v>-685886</v>
      </c>
      <c r="AS241" s="257">
        <v>-829124</v>
      </c>
      <c r="AT241" s="257">
        <v>-585142</v>
      </c>
      <c r="AU241" s="257">
        <v>-376098</v>
      </c>
      <c r="AV241" s="257">
        <v>-1545634</v>
      </c>
      <c r="AW241" s="257">
        <v>-3402632</v>
      </c>
      <c r="AX241" s="257">
        <v>-4743320</v>
      </c>
      <c r="AY241" s="257">
        <v>549472</v>
      </c>
      <c r="AZ241" s="257">
        <v>-932880</v>
      </c>
      <c r="BA241" s="257">
        <v>-300711</v>
      </c>
      <c r="BB241" s="257">
        <v>-175963.00823000001</v>
      </c>
      <c r="BC241" s="257">
        <v>-10018922</v>
      </c>
      <c r="BD241" s="257">
        <v>-11401193</v>
      </c>
      <c r="BE241" s="257">
        <v>-12533960</v>
      </c>
      <c r="BF241" s="257">
        <v>-13244756</v>
      </c>
    </row>
    <row r="242" spans="1:58" x14ac:dyDescent="0.3">
      <c r="A242" s="258" t="s">
        <v>1003</v>
      </c>
      <c r="B242" s="264" t="s">
        <v>792</v>
      </c>
      <c r="C242" s="259">
        <v>-6607</v>
      </c>
      <c r="D242" s="259">
        <v>-39444</v>
      </c>
      <c r="E242" s="259">
        <v>-106842</v>
      </c>
      <c r="F242" s="259">
        <v>-131067</v>
      </c>
      <c r="G242" s="259">
        <v>-144280</v>
      </c>
      <c r="H242" s="259">
        <v>-186674</v>
      </c>
      <c r="I242" s="259">
        <v>-371007</v>
      </c>
      <c r="J242" s="259">
        <v>-867646</v>
      </c>
      <c r="K242" s="259">
        <v>-156399</v>
      </c>
      <c r="L242" s="259">
        <v>23181</v>
      </c>
      <c r="M242" s="259">
        <v>-436746</v>
      </c>
      <c r="N242" s="259">
        <v>-350172</v>
      </c>
      <c r="O242" s="259">
        <v>-122415</v>
      </c>
      <c r="P242" s="259">
        <v>-272543</v>
      </c>
      <c r="Q242" s="259">
        <v>-402541</v>
      </c>
      <c r="R242" s="259">
        <v>-467691</v>
      </c>
      <c r="S242" s="259">
        <v>-204001</v>
      </c>
      <c r="T242" s="259">
        <v>-132329</v>
      </c>
      <c r="U242" s="259">
        <v>-99805</v>
      </c>
      <c r="V242" s="259">
        <v>-124829</v>
      </c>
      <c r="W242" s="259">
        <v>-60766</v>
      </c>
      <c r="X242" s="259">
        <v>-58417</v>
      </c>
      <c r="Y242" s="259">
        <v>84462</v>
      </c>
      <c r="Z242" s="259">
        <v>84275</v>
      </c>
      <c r="AA242" s="259">
        <v>-24197</v>
      </c>
      <c r="AB242" s="259">
        <v>-48226</v>
      </c>
      <c r="AC242" s="259">
        <v>-68499</v>
      </c>
      <c r="AD242" s="259">
        <v>-69708</v>
      </c>
      <c r="AE242" s="259">
        <v>-122920</v>
      </c>
      <c r="AF242" s="259">
        <v>-108045</v>
      </c>
      <c r="AG242" s="259">
        <v>-112400</v>
      </c>
      <c r="AH242" s="259">
        <v>-110181</v>
      </c>
      <c r="AI242" s="259">
        <v>-16653</v>
      </c>
      <c r="AJ242" s="259">
        <v>-86152</v>
      </c>
      <c r="AK242" s="259">
        <v>-146751</v>
      </c>
      <c r="AL242" s="259">
        <v>-192588</v>
      </c>
      <c r="AM242" s="259">
        <v>-8516</v>
      </c>
      <c r="AN242" s="259">
        <v>-32820</v>
      </c>
      <c r="AO242" s="259">
        <v>-61673</v>
      </c>
      <c r="AP242" s="259">
        <v>-1772759</v>
      </c>
      <c r="AQ242" s="259">
        <v>-665202</v>
      </c>
      <c r="AR242" s="259">
        <v>-114362</v>
      </c>
      <c r="AS242" s="259">
        <v>-839995</v>
      </c>
      <c r="AT242" s="259">
        <v>-857582</v>
      </c>
      <c r="AU242" s="259">
        <v>-269498</v>
      </c>
      <c r="AV242" s="259">
        <v>-235931</v>
      </c>
      <c r="AW242" s="259">
        <v>-1046292</v>
      </c>
      <c r="AX242" s="259">
        <v>-1312614</v>
      </c>
      <c r="AY242" s="259">
        <v>-327275</v>
      </c>
      <c r="AZ242" s="259">
        <v>-2280695</v>
      </c>
      <c r="BA242" s="259">
        <v>-2883833</v>
      </c>
      <c r="BB242" s="259">
        <v>-3730320.0082</v>
      </c>
      <c r="BC242" s="259">
        <v>-9991351</v>
      </c>
      <c r="BD242" s="259">
        <v>-11421484</v>
      </c>
      <c r="BE242" s="259">
        <v>-12533545</v>
      </c>
      <c r="BF242" s="259">
        <v>-13244756</v>
      </c>
    </row>
    <row r="243" spans="1:58" x14ac:dyDescent="0.3">
      <c r="A243" s="260" t="s">
        <v>1004</v>
      </c>
      <c r="B243" s="261" t="s">
        <v>792</v>
      </c>
      <c r="C243" s="262">
        <v>0</v>
      </c>
      <c r="D243" s="262">
        <v>-9020</v>
      </c>
      <c r="E243" s="262">
        <v>-9020</v>
      </c>
      <c r="F243" s="262">
        <v>0</v>
      </c>
      <c r="G243" s="262">
        <v>0</v>
      </c>
      <c r="H243" s="262">
        <v>0</v>
      </c>
      <c r="I243" s="262">
        <v>0</v>
      </c>
      <c r="J243" s="262">
        <v>0</v>
      </c>
      <c r="K243" s="262">
        <v>0</v>
      </c>
      <c r="L243" s="261" t="s">
        <v>792</v>
      </c>
      <c r="M243" s="261" t="s">
        <v>792</v>
      </c>
      <c r="N243" s="262">
        <v>0</v>
      </c>
      <c r="O243" s="261" t="s">
        <v>792</v>
      </c>
      <c r="P243" s="261" t="s">
        <v>792</v>
      </c>
      <c r="Q243" s="261" t="s">
        <v>792</v>
      </c>
      <c r="R243" s="262">
        <v>0</v>
      </c>
      <c r="S243" s="262">
        <v>0</v>
      </c>
      <c r="T243" s="262">
        <v>0</v>
      </c>
      <c r="U243" s="262">
        <v>0</v>
      </c>
      <c r="V243" s="262">
        <v>0</v>
      </c>
      <c r="W243" s="262">
        <v>0</v>
      </c>
      <c r="X243" s="262">
        <v>0</v>
      </c>
      <c r="Y243" s="262">
        <v>0</v>
      </c>
      <c r="Z243" s="262">
        <v>0</v>
      </c>
      <c r="AA243" s="262">
        <v>0</v>
      </c>
      <c r="AB243" s="262">
        <v>0</v>
      </c>
      <c r="AC243" s="262">
        <v>0</v>
      </c>
      <c r="AD243" s="262">
        <v>0</v>
      </c>
      <c r="AE243" s="262">
        <v>0</v>
      </c>
      <c r="AF243" s="262">
        <v>0</v>
      </c>
      <c r="AG243" s="262">
        <v>0</v>
      </c>
      <c r="AH243" s="262">
        <v>0</v>
      </c>
      <c r="AI243" s="262">
        <v>0</v>
      </c>
      <c r="AJ243" s="262">
        <v>0</v>
      </c>
      <c r="AK243" s="262">
        <v>0</v>
      </c>
      <c r="AL243" s="262">
        <v>0</v>
      </c>
      <c r="AM243" s="262">
        <v>0</v>
      </c>
      <c r="AN243" s="262">
        <v>0</v>
      </c>
      <c r="AO243" s="262">
        <v>0</v>
      </c>
      <c r="AP243" s="262">
        <v>0</v>
      </c>
      <c r="AQ243" s="262">
        <v>0</v>
      </c>
      <c r="AR243" s="262">
        <v>0</v>
      </c>
      <c r="AS243" s="262">
        <v>0</v>
      </c>
      <c r="AT243" s="262">
        <v>0</v>
      </c>
      <c r="AU243" s="262">
        <v>0</v>
      </c>
      <c r="AV243" s="262">
        <v>0</v>
      </c>
      <c r="AW243" s="262">
        <v>0</v>
      </c>
      <c r="AX243" s="262">
        <v>0</v>
      </c>
      <c r="AY243" s="262">
        <v>0</v>
      </c>
      <c r="AZ243" s="262">
        <v>0</v>
      </c>
      <c r="BA243" s="262">
        <v>0</v>
      </c>
      <c r="BB243" s="262">
        <v>0</v>
      </c>
      <c r="BC243" s="262">
        <v>0</v>
      </c>
      <c r="BD243" s="262">
        <v>0</v>
      </c>
      <c r="BE243" s="262">
        <v>0</v>
      </c>
      <c r="BF243" s="262">
        <v>0</v>
      </c>
    </row>
    <row r="244" spans="1:58" x14ac:dyDescent="0.3">
      <c r="A244" s="260" t="s">
        <v>1005</v>
      </c>
      <c r="B244" s="261" t="s">
        <v>792</v>
      </c>
      <c r="C244" s="262">
        <v>-6607</v>
      </c>
      <c r="D244" s="262">
        <v>-30424</v>
      </c>
      <c r="E244" s="262">
        <v>-97822</v>
      </c>
      <c r="F244" s="262">
        <v>-131067</v>
      </c>
      <c r="G244" s="262">
        <v>-144280</v>
      </c>
      <c r="H244" s="262">
        <v>-186674</v>
      </c>
      <c r="I244" s="262">
        <v>-371007</v>
      </c>
      <c r="J244" s="262">
        <v>-867646</v>
      </c>
      <c r="K244" s="262">
        <v>-156399</v>
      </c>
      <c r="L244" s="261" t="s">
        <v>792</v>
      </c>
      <c r="M244" s="261" t="s">
        <v>792</v>
      </c>
      <c r="N244" s="262">
        <v>-350172</v>
      </c>
      <c r="O244" s="261" t="s">
        <v>792</v>
      </c>
      <c r="P244" s="261" t="s">
        <v>792</v>
      </c>
      <c r="Q244" s="261" t="s">
        <v>792</v>
      </c>
      <c r="R244" s="262">
        <v>-483336</v>
      </c>
      <c r="S244" s="262">
        <v>-207614</v>
      </c>
      <c r="T244" s="262">
        <v>-132329</v>
      </c>
      <c r="U244" s="262">
        <v>-143923</v>
      </c>
      <c r="V244" s="262">
        <v>-172641</v>
      </c>
      <c r="W244" s="262">
        <v>-78649</v>
      </c>
      <c r="X244" s="262">
        <v>-78541</v>
      </c>
      <c r="Y244" s="262">
        <v>-96109</v>
      </c>
      <c r="Z244" s="262">
        <v>-96633</v>
      </c>
      <c r="AA244" s="262">
        <v>-24966</v>
      </c>
      <c r="AB244" s="262">
        <v>-54517</v>
      </c>
      <c r="AC244" s="262">
        <v>-72288</v>
      </c>
      <c r="AD244" s="262">
        <v>-73786</v>
      </c>
      <c r="AE244" s="262">
        <v>-122920</v>
      </c>
      <c r="AF244" s="262">
        <v>-130739</v>
      </c>
      <c r="AG244" s="262">
        <v>-134132</v>
      </c>
      <c r="AH244" s="262">
        <v>-132874</v>
      </c>
      <c r="AI244" s="262">
        <v>-16653</v>
      </c>
      <c r="AJ244" s="262">
        <v>-89622</v>
      </c>
      <c r="AK244" s="262">
        <v>-153558</v>
      </c>
      <c r="AL244" s="262">
        <v>-199175</v>
      </c>
      <c r="AM244" s="262">
        <v>-8516</v>
      </c>
      <c r="AN244" s="262">
        <v>-33112</v>
      </c>
      <c r="AO244" s="262">
        <v>-61673</v>
      </c>
      <c r="AP244" s="262">
        <v>-1772759</v>
      </c>
      <c r="AQ244" s="262">
        <v>-864406</v>
      </c>
      <c r="AR244" s="262">
        <v>-114362</v>
      </c>
      <c r="AS244" s="262">
        <v>-839995</v>
      </c>
      <c r="AT244" s="262">
        <v>-857582</v>
      </c>
      <c r="AU244" s="262">
        <v>-269498</v>
      </c>
      <c r="AV244" s="262">
        <v>-235931</v>
      </c>
      <c r="AW244" s="262">
        <v>-1046292</v>
      </c>
      <c r="AX244" s="262">
        <v>-1312612</v>
      </c>
      <c r="AY244" s="262">
        <v>-327275</v>
      </c>
      <c r="AZ244" s="262">
        <v>-2280695</v>
      </c>
      <c r="BA244" s="262">
        <v>-2883833</v>
      </c>
      <c r="BB244" s="262">
        <v>-1900161.0082</v>
      </c>
      <c r="BC244" s="262">
        <v>-9991351</v>
      </c>
      <c r="BD244" s="262">
        <v>-11421484</v>
      </c>
      <c r="BE244" s="262">
        <v>-12533545</v>
      </c>
      <c r="BF244" s="262">
        <v>-13323637</v>
      </c>
    </row>
    <row r="245" spans="1:58" x14ac:dyDescent="0.3">
      <c r="A245" s="260" t="s">
        <v>1006</v>
      </c>
      <c r="B245" s="261" t="s">
        <v>792</v>
      </c>
      <c r="C245" s="262">
        <v>0</v>
      </c>
      <c r="D245" s="262">
        <v>0</v>
      </c>
      <c r="E245" s="262">
        <v>0</v>
      </c>
      <c r="F245" s="262">
        <v>0</v>
      </c>
      <c r="G245" s="262">
        <v>0</v>
      </c>
      <c r="H245" s="262">
        <v>0</v>
      </c>
      <c r="I245" s="262">
        <v>0</v>
      </c>
      <c r="J245" s="262">
        <v>0</v>
      </c>
      <c r="K245" s="262">
        <v>0</v>
      </c>
      <c r="L245" s="261" t="s">
        <v>792</v>
      </c>
      <c r="M245" s="261" t="s">
        <v>792</v>
      </c>
      <c r="N245" s="262">
        <v>0</v>
      </c>
      <c r="O245" s="261" t="s">
        <v>792</v>
      </c>
      <c r="P245" s="261" t="s">
        <v>792</v>
      </c>
      <c r="Q245" s="261" t="s">
        <v>792</v>
      </c>
      <c r="R245" s="262">
        <v>15645</v>
      </c>
      <c r="S245" s="262">
        <v>3613</v>
      </c>
      <c r="T245" s="262">
        <v>0</v>
      </c>
      <c r="U245" s="262">
        <v>44118</v>
      </c>
      <c r="V245" s="262">
        <v>47812</v>
      </c>
      <c r="W245" s="262">
        <v>17883</v>
      </c>
      <c r="X245" s="262">
        <v>20124</v>
      </c>
      <c r="Y245" s="262">
        <v>180571</v>
      </c>
      <c r="Z245" s="262">
        <v>180908</v>
      </c>
      <c r="AA245" s="262">
        <v>769</v>
      </c>
      <c r="AB245" s="262">
        <v>6291</v>
      </c>
      <c r="AC245" s="262">
        <v>3789</v>
      </c>
      <c r="AD245" s="262">
        <v>4078</v>
      </c>
      <c r="AE245" s="262">
        <v>0</v>
      </c>
      <c r="AF245" s="262">
        <v>22694</v>
      </c>
      <c r="AG245" s="262">
        <v>21732</v>
      </c>
      <c r="AH245" s="262">
        <v>22693</v>
      </c>
      <c r="AI245" s="262">
        <v>0</v>
      </c>
      <c r="AJ245" s="262">
        <v>3470</v>
      </c>
      <c r="AK245" s="262">
        <v>6807</v>
      </c>
      <c r="AL245" s="262">
        <v>6587</v>
      </c>
      <c r="AM245" s="262">
        <v>0</v>
      </c>
      <c r="AN245" s="262">
        <v>292</v>
      </c>
      <c r="AO245" s="262">
        <v>0</v>
      </c>
      <c r="AP245" s="262">
        <v>0</v>
      </c>
      <c r="AQ245" s="262">
        <v>199204</v>
      </c>
      <c r="AR245" s="262">
        <v>0</v>
      </c>
      <c r="AS245" s="262">
        <v>0</v>
      </c>
      <c r="AT245" s="262">
        <v>0</v>
      </c>
      <c r="AU245" s="262">
        <v>0</v>
      </c>
      <c r="AV245" s="262">
        <v>0</v>
      </c>
      <c r="AW245" s="262">
        <v>0</v>
      </c>
      <c r="AX245" s="262">
        <v>-2</v>
      </c>
      <c r="AY245" s="262">
        <v>0</v>
      </c>
      <c r="AZ245" s="262">
        <v>0</v>
      </c>
      <c r="BA245" s="262">
        <v>0</v>
      </c>
      <c r="BB245" s="262">
        <v>-1830159</v>
      </c>
      <c r="BC245" s="262">
        <v>0</v>
      </c>
      <c r="BD245" s="262">
        <v>0</v>
      </c>
      <c r="BE245" s="262">
        <v>0</v>
      </c>
      <c r="BF245" s="262">
        <v>78881</v>
      </c>
    </row>
    <row r="246" spans="1:58" x14ac:dyDescent="0.3">
      <c r="A246" s="258" t="s">
        <v>1007</v>
      </c>
      <c r="B246" s="264" t="s">
        <v>792</v>
      </c>
      <c r="C246" s="259">
        <v>0</v>
      </c>
      <c r="D246" s="259">
        <v>0</v>
      </c>
      <c r="E246" s="259">
        <v>0</v>
      </c>
      <c r="F246" s="259">
        <v>0</v>
      </c>
      <c r="G246" s="259">
        <v>0</v>
      </c>
      <c r="H246" s="259">
        <v>0</v>
      </c>
      <c r="I246" s="259">
        <v>0</v>
      </c>
      <c r="J246" s="259">
        <v>0</v>
      </c>
      <c r="K246" s="259">
        <v>0</v>
      </c>
      <c r="L246" s="259">
        <v>0</v>
      </c>
      <c r="M246" s="259">
        <v>0</v>
      </c>
      <c r="N246" s="259">
        <v>0</v>
      </c>
      <c r="O246" s="259">
        <v>0</v>
      </c>
      <c r="P246" s="259">
        <v>0</v>
      </c>
      <c r="Q246" s="259">
        <v>0</v>
      </c>
      <c r="R246" s="259">
        <v>0</v>
      </c>
      <c r="S246" s="259">
        <v>0</v>
      </c>
      <c r="T246" s="259">
        <v>0</v>
      </c>
      <c r="U246" s="259">
        <v>0</v>
      </c>
      <c r="V246" s="259">
        <v>0</v>
      </c>
      <c r="W246" s="259">
        <v>0</v>
      </c>
      <c r="X246" s="259">
        <v>0</v>
      </c>
      <c r="Y246" s="259">
        <v>0</v>
      </c>
      <c r="Z246" s="259">
        <v>0</v>
      </c>
      <c r="AA246" s="259">
        <v>0</v>
      </c>
      <c r="AB246" s="259">
        <v>0</v>
      </c>
      <c r="AC246" s="259">
        <v>0</v>
      </c>
      <c r="AD246" s="259">
        <v>0</v>
      </c>
      <c r="AE246" s="259">
        <v>0</v>
      </c>
      <c r="AF246" s="259">
        <v>0</v>
      </c>
      <c r="AG246" s="259">
        <v>0</v>
      </c>
      <c r="AH246" s="259">
        <v>0</v>
      </c>
      <c r="AI246" s="259">
        <v>0</v>
      </c>
      <c r="AJ246" s="259">
        <v>0</v>
      </c>
      <c r="AK246" s="259">
        <v>0</v>
      </c>
      <c r="AL246" s="259">
        <v>0</v>
      </c>
      <c r="AM246" s="259">
        <v>0</v>
      </c>
      <c r="AN246" s="259">
        <v>0</v>
      </c>
      <c r="AO246" s="259">
        <v>0</v>
      </c>
      <c r="AP246" s="259">
        <v>0</v>
      </c>
      <c r="AQ246" s="259">
        <v>0</v>
      </c>
      <c r="AR246" s="259">
        <v>0</v>
      </c>
      <c r="AS246" s="259">
        <v>0</v>
      </c>
      <c r="AT246" s="259">
        <v>0</v>
      </c>
      <c r="AU246" s="259">
        <v>0</v>
      </c>
      <c r="AV246" s="259">
        <v>0</v>
      </c>
      <c r="AW246" s="259">
        <v>0</v>
      </c>
      <c r="AX246" s="259">
        <v>0</v>
      </c>
      <c r="AY246" s="259">
        <v>0</v>
      </c>
      <c r="AZ246" s="259">
        <v>0</v>
      </c>
      <c r="BA246" s="259">
        <v>0</v>
      </c>
      <c r="BB246" s="259">
        <v>0</v>
      </c>
      <c r="BC246" s="259">
        <v>0</v>
      </c>
      <c r="BD246" s="259">
        <v>0</v>
      </c>
      <c r="BE246" s="259">
        <v>0</v>
      </c>
      <c r="BF246" s="259">
        <v>0</v>
      </c>
    </row>
    <row r="247" spans="1:58" x14ac:dyDescent="0.3">
      <c r="A247" s="258" t="s">
        <v>1008</v>
      </c>
      <c r="B247" s="264" t="s">
        <v>792</v>
      </c>
      <c r="C247" s="259">
        <v>47387</v>
      </c>
      <c r="D247" s="259">
        <v>105667</v>
      </c>
      <c r="E247" s="259">
        <v>206564</v>
      </c>
      <c r="F247" s="259">
        <v>0</v>
      </c>
      <c r="G247" s="259">
        <v>202060</v>
      </c>
      <c r="H247" s="259">
        <v>1601877</v>
      </c>
      <c r="I247" s="259">
        <v>682839</v>
      </c>
      <c r="J247" s="259">
        <v>1211352</v>
      </c>
      <c r="K247" s="259">
        <v>287876</v>
      </c>
      <c r="L247" s="259">
        <v>173083</v>
      </c>
      <c r="M247" s="259">
        <v>434605</v>
      </c>
      <c r="N247" s="259">
        <v>700294</v>
      </c>
      <c r="O247" s="259">
        <v>242442</v>
      </c>
      <c r="P247" s="259">
        <v>271715</v>
      </c>
      <c r="Q247" s="259">
        <v>456715</v>
      </c>
      <c r="R247" s="259">
        <v>825658</v>
      </c>
      <c r="S247" s="259">
        <v>283202</v>
      </c>
      <c r="T247" s="259">
        <v>128297</v>
      </c>
      <c r="U247" s="259">
        <v>166808</v>
      </c>
      <c r="V247" s="259">
        <v>75122</v>
      </c>
      <c r="W247" s="259">
        <v>53538</v>
      </c>
      <c r="X247" s="259">
        <v>73197</v>
      </c>
      <c r="Y247" s="259">
        <v>-132656</v>
      </c>
      <c r="Z247" s="259">
        <v>-100712</v>
      </c>
      <c r="AA247" s="259">
        <v>-139108</v>
      </c>
      <c r="AB247" s="259">
        <v>-234381</v>
      </c>
      <c r="AC247" s="259">
        <v>-234063</v>
      </c>
      <c r="AD247" s="259">
        <v>-319800</v>
      </c>
      <c r="AE247" s="259">
        <v>14147</v>
      </c>
      <c r="AF247" s="259">
        <v>26975</v>
      </c>
      <c r="AG247" s="259">
        <v>71896</v>
      </c>
      <c r="AH247" s="259">
        <v>113751</v>
      </c>
      <c r="AI247" s="259">
        <v>51860</v>
      </c>
      <c r="AJ247" s="259">
        <v>-95254</v>
      </c>
      <c r="AK247" s="259">
        <v>18385</v>
      </c>
      <c r="AL247" s="259">
        <v>-130664</v>
      </c>
      <c r="AM247" s="259">
        <v>458719</v>
      </c>
      <c r="AN247" s="259">
        <v>446437</v>
      </c>
      <c r="AO247" s="259">
        <v>348170</v>
      </c>
      <c r="AP247" s="259">
        <v>395073</v>
      </c>
      <c r="AQ247" s="259">
        <v>-28246</v>
      </c>
      <c r="AR247" s="259">
        <v>202294</v>
      </c>
      <c r="AS247" s="259">
        <v>200253</v>
      </c>
      <c r="AT247" s="259">
        <v>272440</v>
      </c>
      <c r="AU247" s="259">
        <v>-106600</v>
      </c>
      <c r="AV247" s="259">
        <v>-1108273</v>
      </c>
      <c r="AW247" s="259">
        <v>-2389815</v>
      </c>
      <c r="AX247" s="259">
        <v>-3430706</v>
      </c>
      <c r="AY247" s="259">
        <v>876747</v>
      </c>
      <c r="AZ247" s="259">
        <v>1347815</v>
      </c>
      <c r="BA247" s="259">
        <v>2583122</v>
      </c>
      <c r="BB247" s="259">
        <v>3554357</v>
      </c>
      <c r="BC247" s="259">
        <v>-27571</v>
      </c>
      <c r="BD247" s="259">
        <v>20291</v>
      </c>
      <c r="BE247" s="259">
        <v>-415</v>
      </c>
      <c r="BF247" s="259">
        <v>0</v>
      </c>
    </row>
    <row r="248" spans="1:58" x14ac:dyDescent="0.3">
      <c r="A248" s="258" t="s">
        <v>1009</v>
      </c>
      <c r="B248" s="264" t="s">
        <v>792</v>
      </c>
      <c r="C248" s="259">
        <v>0</v>
      </c>
      <c r="D248" s="259">
        <v>0</v>
      </c>
      <c r="E248" s="259">
        <v>0</v>
      </c>
      <c r="F248" s="259">
        <v>0</v>
      </c>
      <c r="G248" s="259">
        <v>0</v>
      </c>
      <c r="H248" s="259">
        <v>-1288674</v>
      </c>
      <c r="I248" s="259">
        <v>0</v>
      </c>
      <c r="J248" s="259">
        <v>34500</v>
      </c>
      <c r="K248" s="259">
        <v>1624729</v>
      </c>
      <c r="L248" s="259">
        <v>-60644</v>
      </c>
      <c r="M248" s="259">
        <v>204522</v>
      </c>
      <c r="N248" s="259">
        <v>-143117</v>
      </c>
      <c r="O248" s="259">
        <v>-2785</v>
      </c>
      <c r="P248" s="259">
        <v>-1605</v>
      </c>
      <c r="Q248" s="259">
        <v>131670</v>
      </c>
      <c r="R248" s="259">
        <v>-134032</v>
      </c>
      <c r="S248" s="259">
        <v>0</v>
      </c>
      <c r="T248" s="259">
        <v>272778</v>
      </c>
      <c r="U248" s="259">
        <v>290562</v>
      </c>
      <c r="V248" s="259">
        <v>272565</v>
      </c>
      <c r="W248" s="259">
        <v>0</v>
      </c>
      <c r="X248" s="259">
        <v>-170</v>
      </c>
      <c r="Y248" s="259">
        <v>-427</v>
      </c>
      <c r="Z248" s="259">
        <v>-930</v>
      </c>
      <c r="AA248" s="259">
        <v>0</v>
      </c>
      <c r="AB248" s="259">
        <v>-388</v>
      </c>
      <c r="AC248" s="259">
        <v>-1188</v>
      </c>
      <c r="AD248" s="259">
        <v>-1593</v>
      </c>
      <c r="AE248" s="259">
        <v>-1877</v>
      </c>
      <c r="AF248" s="259">
        <v>-2137</v>
      </c>
      <c r="AG248" s="259">
        <v>-6392</v>
      </c>
      <c r="AH248" s="259">
        <v>-3396</v>
      </c>
      <c r="AI248" s="259">
        <v>-575</v>
      </c>
      <c r="AJ248" s="259">
        <v>-884</v>
      </c>
      <c r="AK248" s="259">
        <v>11146</v>
      </c>
      <c r="AL248" s="259">
        <v>-14752</v>
      </c>
      <c r="AM248" s="259">
        <v>-1557246</v>
      </c>
      <c r="AN248" s="259">
        <v>-1594652</v>
      </c>
      <c r="AO248" s="259">
        <v>-1530255</v>
      </c>
      <c r="AP248" s="259">
        <v>-5622</v>
      </c>
      <c r="AQ248" s="259">
        <v>0</v>
      </c>
      <c r="AR248" s="259">
        <v>-773818</v>
      </c>
      <c r="AS248" s="259">
        <v>-189382</v>
      </c>
      <c r="AT248" s="259">
        <v>0</v>
      </c>
      <c r="AU248" s="259">
        <v>0</v>
      </c>
      <c r="AV248" s="259">
        <v>-201430</v>
      </c>
      <c r="AW248" s="259">
        <v>33475</v>
      </c>
      <c r="AX248" s="259">
        <v>0</v>
      </c>
      <c r="AY248" s="259">
        <v>0</v>
      </c>
      <c r="AZ248" s="259">
        <v>0</v>
      </c>
      <c r="BA248" s="259">
        <v>0</v>
      </c>
      <c r="BB248" s="259">
        <v>0</v>
      </c>
      <c r="BC248" s="259">
        <v>0</v>
      </c>
      <c r="BD248" s="259">
        <v>0</v>
      </c>
      <c r="BE248" s="259">
        <v>0</v>
      </c>
      <c r="BF248" s="259">
        <v>0</v>
      </c>
    </row>
    <row r="249" spans="1:58" x14ac:dyDescent="0.3">
      <c r="A249" s="255" t="s">
        <v>1010</v>
      </c>
      <c r="B249" s="257">
        <v>445530</v>
      </c>
      <c r="C249" s="257">
        <v>-992</v>
      </c>
      <c r="D249" s="257">
        <v>5273</v>
      </c>
      <c r="E249" s="257">
        <v>4335</v>
      </c>
      <c r="F249" s="257">
        <v>2347949</v>
      </c>
      <c r="G249" s="257">
        <v>2839</v>
      </c>
      <c r="H249" s="257">
        <v>60345</v>
      </c>
      <c r="I249" s="257">
        <v>129990</v>
      </c>
      <c r="J249" s="257">
        <v>161364</v>
      </c>
      <c r="K249" s="257">
        <v>1372</v>
      </c>
      <c r="L249" s="257">
        <v>7293</v>
      </c>
      <c r="M249" s="257">
        <v>1816</v>
      </c>
      <c r="N249" s="257">
        <v>9581</v>
      </c>
      <c r="O249" s="257">
        <v>905</v>
      </c>
      <c r="P249" s="257">
        <v>172576</v>
      </c>
      <c r="Q249" s="257">
        <v>168482</v>
      </c>
      <c r="R249" s="257">
        <v>48880</v>
      </c>
      <c r="S249" s="257">
        <v>-81543</v>
      </c>
      <c r="T249" s="257">
        <v>-36535</v>
      </c>
      <c r="U249" s="257">
        <v>-101061</v>
      </c>
      <c r="V249" s="257">
        <v>6026</v>
      </c>
      <c r="W249" s="257">
        <v>0</v>
      </c>
      <c r="X249" s="257">
        <v>-3160</v>
      </c>
      <c r="Y249" s="257">
        <v>-3160</v>
      </c>
      <c r="Z249" s="257">
        <v>-8532</v>
      </c>
      <c r="AA249" s="257">
        <v>-384</v>
      </c>
      <c r="AB249" s="257">
        <v>-7038</v>
      </c>
      <c r="AC249" s="257">
        <v>-8577</v>
      </c>
      <c r="AD249" s="257">
        <v>-5699</v>
      </c>
      <c r="AE249" s="257">
        <v>119367</v>
      </c>
      <c r="AF249" s="257">
        <v>109115</v>
      </c>
      <c r="AG249" s="257">
        <v>23222</v>
      </c>
      <c r="AH249" s="257">
        <v>13860</v>
      </c>
      <c r="AI249" s="257">
        <v>-20496</v>
      </c>
      <c r="AJ249" s="257">
        <v>74677</v>
      </c>
      <c r="AK249" s="257">
        <v>-126571</v>
      </c>
      <c r="AL249" s="257">
        <v>121032</v>
      </c>
      <c r="AM249" s="257">
        <v>989764</v>
      </c>
      <c r="AN249" s="257">
        <v>986569</v>
      </c>
      <c r="AO249" s="257">
        <v>858950</v>
      </c>
      <c r="AP249" s="257">
        <v>1189756</v>
      </c>
      <c r="AQ249" s="257">
        <v>262977</v>
      </c>
      <c r="AR249" s="257">
        <v>-311639</v>
      </c>
      <c r="AS249" s="257">
        <v>-522248</v>
      </c>
      <c r="AT249" s="257">
        <v>-713295</v>
      </c>
      <c r="AU249" s="257">
        <v>1940661</v>
      </c>
      <c r="AV249" s="257">
        <v>3340055</v>
      </c>
      <c r="AW249" s="257">
        <v>2961208</v>
      </c>
      <c r="AX249" s="257">
        <v>2627429</v>
      </c>
      <c r="AY249" s="257">
        <v>992899</v>
      </c>
      <c r="AZ249" s="257">
        <v>2104128</v>
      </c>
      <c r="BA249" s="257">
        <v>4039527</v>
      </c>
      <c r="BB249" s="257">
        <v>4009917</v>
      </c>
      <c r="BC249" s="257">
        <v>1280916</v>
      </c>
      <c r="BD249" s="257">
        <v>823286</v>
      </c>
      <c r="BE249" s="257">
        <v>184543</v>
      </c>
      <c r="BF249" s="257">
        <v>-917103</v>
      </c>
    </row>
    <row r="250" spans="1:58" x14ac:dyDescent="0.3">
      <c r="A250" s="258" t="s">
        <v>1011</v>
      </c>
      <c r="B250" s="264" t="s">
        <v>792</v>
      </c>
      <c r="C250" s="259">
        <v>-1085</v>
      </c>
      <c r="D250" s="259">
        <v>468</v>
      </c>
      <c r="E250" s="259">
        <v>4242</v>
      </c>
      <c r="F250" s="259">
        <v>4046</v>
      </c>
      <c r="G250" s="259">
        <v>-10182</v>
      </c>
      <c r="H250" s="259">
        <v>-13582</v>
      </c>
      <c r="I250" s="259">
        <v>-16969</v>
      </c>
      <c r="J250" s="259">
        <v>-27026</v>
      </c>
      <c r="K250" s="259">
        <v>-4972</v>
      </c>
      <c r="L250" s="259">
        <v>831</v>
      </c>
      <c r="M250" s="259">
        <v>-4655</v>
      </c>
      <c r="N250" s="259">
        <v>1986</v>
      </c>
      <c r="O250" s="259">
        <v>-630</v>
      </c>
      <c r="P250" s="259">
        <v>168501</v>
      </c>
      <c r="Q250" s="259">
        <v>164407</v>
      </c>
      <c r="R250" s="259">
        <v>44805</v>
      </c>
      <c r="S250" s="259">
        <v>-81543</v>
      </c>
      <c r="T250" s="259">
        <v>-36536</v>
      </c>
      <c r="U250" s="259">
        <v>-101062</v>
      </c>
      <c r="V250" s="259">
        <v>6025</v>
      </c>
      <c r="W250" s="259">
        <v>0</v>
      </c>
      <c r="X250" s="259">
        <v>-3160</v>
      </c>
      <c r="Y250" s="259">
        <v>-3160</v>
      </c>
      <c r="Z250" s="264" t="s">
        <v>792</v>
      </c>
      <c r="AA250" s="259">
        <v>0</v>
      </c>
      <c r="AB250" s="259">
        <v>-1880</v>
      </c>
      <c r="AC250" s="259">
        <v>-1880</v>
      </c>
      <c r="AD250" s="259">
        <v>-5699</v>
      </c>
      <c r="AE250" s="259">
        <v>123693</v>
      </c>
      <c r="AF250" s="259">
        <v>121544</v>
      </c>
      <c r="AG250" s="259">
        <v>47519</v>
      </c>
      <c r="AH250" s="259">
        <v>34563</v>
      </c>
      <c r="AI250" s="259">
        <v>-20953</v>
      </c>
      <c r="AJ250" s="259">
        <v>100055</v>
      </c>
      <c r="AK250" s="259">
        <v>-98644</v>
      </c>
      <c r="AL250" s="259">
        <v>146521</v>
      </c>
      <c r="AM250" s="259">
        <v>957430</v>
      </c>
      <c r="AN250" s="259">
        <v>1025986</v>
      </c>
      <c r="AO250" s="259">
        <v>927156</v>
      </c>
      <c r="AP250" s="259">
        <v>1292716</v>
      </c>
      <c r="AQ250" s="259">
        <v>256617</v>
      </c>
      <c r="AR250" s="259">
        <v>-213555</v>
      </c>
      <c r="AS250" s="259">
        <v>-296165</v>
      </c>
      <c r="AT250" s="259">
        <v>-565397</v>
      </c>
      <c r="AU250" s="259">
        <v>-37545</v>
      </c>
      <c r="AV250" s="259">
        <v>1501702</v>
      </c>
      <c r="AW250" s="259">
        <v>1204617</v>
      </c>
      <c r="AX250" s="259">
        <v>835273</v>
      </c>
      <c r="AY250" s="259">
        <v>987602</v>
      </c>
      <c r="AZ250" s="259">
        <v>2170171</v>
      </c>
      <c r="BA250" s="259">
        <v>4149117</v>
      </c>
      <c r="BB250" s="259">
        <v>4384220</v>
      </c>
      <c r="BC250" s="259">
        <v>1338827</v>
      </c>
      <c r="BD250" s="259">
        <v>1252167</v>
      </c>
      <c r="BE250" s="259">
        <v>732074</v>
      </c>
      <c r="BF250" s="259">
        <v>-137558</v>
      </c>
    </row>
    <row r="251" spans="1:58" x14ac:dyDescent="0.3">
      <c r="A251" s="260" t="s">
        <v>1012</v>
      </c>
      <c r="B251" s="261" t="s">
        <v>792</v>
      </c>
      <c r="C251" s="262">
        <v>0</v>
      </c>
      <c r="D251" s="262">
        <v>468</v>
      </c>
      <c r="E251" s="262">
        <v>4502</v>
      </c>
      <c r="F251" s="262">
        <v>4556</v>
      </c>
      <c r="G251" s="262">
        <v>0</v>
      </c>
      <c r="H251" s="262">
        <v>0</v>
      </c>
      <c r="I251" s="262">
        <v>0</v>
      </c>
      <c r="J251" s="262">
        <v>0</v>
      </c>
      <c r="K251" s="262">
        <v>3780</v>
      </c>
      <c r="L251" s="262">
        <v>3780</v>
      </c>
      <c r="M251" s="262">
        <v>3226</v>
      </c>
      <c r="N251" s="262">
        <v>3234</v>
      </c>
      <c r="O251" s="262">
        <v>0</v>
      </c>
      <c r="P251" s="262">
        <v>168501</v>
      </c>
      <c r="Q251" s="262">
        <v>164407</v>
      </c>
      <c r="R251" s="262">
        <v>62060</v>
      </c>
      <c r="S251" s="262">
        <v>0</v>
      </c>
      <c r="T251" s="262">
        <v>0</v>
      </c>
      <c r="U251" s="262">
        <v>0</v>
      </c>
      <c r="V251" s="262">
        <v>87568</v>
      </c>
      <c r="W251" s="262">
        <v>0</v>
      </c>
      <c r="X251" s="262">
        <v>0</v>
      </c>
      <c r="Y251" s="262">
        <v>0</v>
      </c>
      <c r="Z251" s="261" t="s">
        <v>792</v>
      </c>
      <c r="AA251" s="262">
        <v>0</v>
      </c>
      <c r="AB251" s="262">
        <v>0</v>
      </c>
      <c r="AC251" s="262">
        <v>0</v>
      </c>
      <c r="AD251" s="262">
        <v>0</v>
      </c>
      <c r="AE251" s="262">
        <v>123855</v>
      </c>
      <c r="AF251" s="262">
        <v>123455</v>
      </c>
      <c r="AG251" s="262">
        <v>70304</v>
      </c>
      <c r="AH251" s="262">
        <v>67286</v>
      </c>
      <c r="AI251" s="262">
        <v>374</v>
      </c>
      <c r="AJ251" s="262">
        <v>123170</v>
      </c>
      <c r="AK251" s="262">
        <v>0</v>
      </c>
      <c r="AL251" s="262">
        <v>171708</v>
      </c>
      <c r="AM251" s="262">
        <v>1005424</v>
      </c>
      <c r="AN251" s="262">
        <v>1026825</v>
      </c>
      <c r="AO251" s="262">
        <v>934764</v>
      </c>
      <c r="AP251" s="262">
        <v>1298886</v>
      </c>
      <c r="AQ251" s="262">
        <v>309575</v>
      </c>
      <c r="AR251" s="262">
        <v>-225658</v>
      </c>
      <c r="AS251" s="262">
        <v>-296165</v>
      </c>
      <c r="AT251" s="262">
        <v>1250509</v>
      </c>
      <c r="AU251" s="262">
        <v>568463</v>
      </c>
      <c r="AV251" s="262">
        <v>1548246</v>
      </c>
      <c r="AW251" s="262">
        <v>1204617</v>
      </c>
      <c r="AX251" s="262">
        <v>4191053</v>
      </c>
      <c r="AY251" s="262">
        <v>1013211</v>
      </c>
      <c r="AZ251" s="262">
        <v>2170171</v>
      </c>
      <c r="BA251" s="262">
        <v>4149117</v>
      </c>
      <c r="BB251" s="262">
        <v>4386823</v>
      </c>
      <c r="BC251" s="262">
        <v>1467650</v>
      </c>
      <c r="BD251" s="262">
        <v>1318564</v>
      </c>
      <c r="BE251" s="262">
        <v>914596</v>
      </c>
      <c r="BF251" s="262">
        <v>1711425</v>
      </c>
    </row>
    <row r="252" spans="1:58" x14ac:dyDescent="0.3">
      <c r="A252" s="260" t="s">
        <v>1013</v>
      </c>
      <c r="B252" s="261" t="s">
        <v>792</v>
      </c>
      <c r="C252" s="262">
        <v>-1085</v>
      </c>
      <c r="D252" s="262">
        <v>0</v>
      </c>
      <c r="E252" s="262">
        <v>-260</v>
      </c>
      <c r="F252" s="262">
        <v>-510</v>
      </c>
      <c r="G252" s="262">
        <v>-10182</v>
      </c>
      <c r="H252" s="262">
        <v>-13582</v>
      </c>
      <c r="I252" s="262">
        <v>-16969</v>
      </c>
      <c r="J252" s="262">
        <v>-27026</v>
      </c>
      <c r="K252" s="262">
        <v>-8752</v>
      </c>
      <c r="L252" s="262">
        <v>-2949</v>
      </c>
      <c r="M252" s="262">
        <v>-7881</v>
      </c>
      <c r="N252" s="262">
        <v>-1248</v>
      </c>
      <c r="O252" s="262">
        <v>-630</v>
      </c>
      <c r="P252" s="262">
        <v>0</v>
      </c>
      <c r="Q252" s="262">
        <v>0</v>
      </c>
      <c r="R252" s="262">
        <v>-17255</v>
      </c>
      <c r="S252" s="262">
        <v>-81543</v>
      </c>
      <c r="T252" s="262">
        <v>-36536</v>
      </c>
      <c r="U252" s="262">
        <v>-101062</v>
      </c>
      <c r="V252" s="262">
        <v>-81543</v>
      </c>
      <c r="W252" s="262">
        <v>0</v>
      </c>
      <c r="X252" s="262">
        <v>-3160</v>
      </c>
      <c r="Y252" s="262">
        <v>-3160</v>
      </c>
      <c r="Z252" s="261" t="s">
        <v>792</v>
      </c>
      <c r="AA252" s="262">
        <v>0</v>
      </c>
      <c r="AB252" s="262">
        <v>-1880</v>
      </c>
      <c r="AC252" s="262">
        <v>-1880</v>
      </c>
      <c r="AD252" s="262">
        <v>-5699</v>
      </c>
      <c r="AE252" s="262">
        <v>-162</v>
      </c>
      <c r="AF252" s="262">
        <v>-1911</v>
      </c>
      <c r="AG252" s="262">
        <v>-22785</v>
      </c>
      <c r="AH252" s="262">
        <v>-32723</v>
      </c>
      <c r="AI252" s="262">
        <v>-21327</v>
      </c>
      <c r="AJ252" s="262">
        <v>-23115</v>
      </c>
      <c r="AK252" s="262">
        <v>-98644</v>
      </c>
      <c r="AL252" s="262">
        <v>-25187</v>
      </c>
      <c r="AM252" s="262">
        <v>-47994</v>
      </c>
      <c r="AN252" s="262">
        <v>-839</v>
      </c>
      <c r="AO252" s="262">
        <v>-7608</v>
      </c>
      <c r="AP252" s="262">
        <v>-6170</v>
      </c>
      <c r="AQ252" s="262">
        <v>-52958</v>
      </c>
      <c r="AR252" s="262">
        <v>12103</v>
      </c>
      <c r="AS252" s="262">
        <v>0</v>
      </c>
      <c r="AT252" s="262">
        <v>-1815906</v>
      </c>
      <c r="AU252" s="262">
        <v>-606008</v>
      </c>
      <c r="AV252" s="262">
        <v>-46544</v>
      </c>
      <c r="AW252" s="262">
        <v>0</v>
      </c>
      <c r="AX252" s="262">
        <v>-3355780</v>
      </c>
      <c r="AY252" s="262">
        <v>-25609</v>
      </c>
      <c r="AZ252" s="262">
        <v>0</v>
      </c>
      <c r="BA252" s="262">
        <v>0</v>
      </c>
      <c r="BB252" s="262">
        <v>-2603</v>
      </c>
      <c r="BC252" s="262">
        <v>-128823</v>
      </c>
      <c r="BD252" s="262">
        <v>-66397</v>
      </c>
      <c r="BE252" s="262">
        <v>-182522</v>
      </c>
      <c r="BF252" s="262">
        <v>-1848983</v>
      </c>
    </row>
    <row r="253" spans="1:58" x14ac:dyDescent="0.3">
      <c r="A253" s="258" t="s">
        <v>1014</v>
      </c>
      <c r="B253" s="264" t="s">
        <v>792</v>
      </c>
      <c r="C253" s="259">
        <v>93</v>
      </c>
      <c r="D253" s="259">
        <v>303</v>
      </c>
      <c r="E253" s="259">
        <v>93</v>
      </c>
      <c r="F253" s="259">
        <v>2343903</v>
      </c>
      <c r="G253" s="259">
        <v>13021</v>
      </c>
      <c r="H253" s="259">
        <v>73927</v>
      </c>
      <c r="I253" s="259">
        <v>146959</v>
      </c>
      <c r="J253" s="259">
        <v>188390</v>
      </c>
      <c r="K253" s="259">
        <v>6344</v>
      </c>
      <c r="L253" s="259">
        <v>6462</v>
      </c>
      <c r="M253" s="259">
        <v>6471</v>
      </c>
      <c r="N253" s="259">
        <v>7595</v>
      </c>
      <c r="O253" s="259">
        <v>1535</v>
      </c>
      <c r="P253" s="259">
        <v>0</v>
      </c>
      <c r="Q253" s="259">
        <v>4075</v>
      </c>
      <c r="R253" s="259">
        <v>4075</v>
      </c>
      <c r="S253" s="259">
        <v>0</v>
      </c>
      <c r="T253" s="259">
        <v>1</v>
      </c>
      <c r="U253" s="259">
        <v>1</v>
      </c>
      <c r="V253" s="259">
        <v>1</v>
      </c>
      <c r="W253" s="259">
        <v>0</v>
      </c>
      <c r="X253" s="259">
        <v>0</v>
      </c>
      <c r="Y253" s="259">
        <v>0</v>
      </c>
      <c r="Z253" s="264" t="s">
        <v>792</v>
      </c>
      <c r="AA253" s="259">
        <v>0</v>
      </c>
      <c r="AB253" s="259">
        <v>0</v>
      </c>
      <c r="AC253" s="259">
        <v>0</v>
      </c>
      <c r="AD253" s="259">
        <v>0</v>
      </c>
      <c r="AE253" s="259">
        <v>-4326</v>
      </c>
      <c r="AF253" s="259">
        <v>-12429</v>
      </c>
      <c r="AG253" s="259">
        <v>-24949</v>
      </c>
      <c r="AH253" s="259">
        <v>-23579</v>
      </c>
      <c r="AI253" s="259">
        <v>457</v>
      </c>
      <c r="AJ253" s="259">
        <v>-25378</v>
      </c>
      <c r="AK253" s="259">
        <v>-25840</v>
      </c>
      <c r="AL253" s="259">
        <v>-25489</v>
      </c>
      <c r="AM253" s="259">
        <v>32334</v>
      </c>
      <c r="AN253" s="259">
        <v>55535</v>
      </c>
      <c r="AO253" s="259">
        <v>55535</v>
      </c>
      <c r="AP253" s="259">
        <v>55535</v>
      </c>
      <c r="AQ253" s="259">
        <v>0</v>
      </c>
      <c r="AR253" s="259">
        <v>10587</v>
      </c>
      <c r="AS253" s="259">
        <v>0</v>
      </c>
      <c r="AT253" s="259">
        <v>85787</v>
      </c>
      <c r="AU253" s="259">
        <v>0</v>
      </c>
      <c r="AV253" s="259">
        <v>1976744</v>
      </c>
      <c r="AW253" s="259">
        <v>0</v>
      </c>
      <c r="AX253" s="259">
        <v>1976744</v>
      </c>
      <c r="AY253" s="259">
        <v>0</v>
      </c>
      <c r="AZ253" s="259">
        <v>0</v>
      </c>
      <c r="BA253" s="259">
        <v>16030</v>
      </c>
      <c r="BB253" s="259">
        <v>-21544</v>
      </c>
      <c r="BC253" s="259">
        <v>-49933</v>
      </c>
      <c r="BD253" s="259">
        <v>-426401</v>
      </c>
      <c r="BE253" s="259">
        <v>0</v>
      </c>
      <c r="BF253" s="259">
        <v>-497523</v>
      </c>
    </row>
    <row r="254" spans="1:58" x14ac:dyDescent="0.3">
      <c r="A254" s="260" t="s">
        <v>1015</v>
      </c>
      <c r="B254" s="261" t="s">
        <v>792</v>
      </c>
      <c r="C254" s="262">
        <v>93</v>
      </c>
      <c r="D254" s="262">
        <v>303</v>
      </c>
      <c r="E254" s="262">
        <v>93</v>
      </c>
      <c r="F254" s="262">
        <v>2343903</v>
      </c>
      <c r="G254" s="262">
        <v>13021</v>
      </c>
      <c r="H254" s="262">
        <v>73927</v>
      </c>
      <c r="I254" s="262">
        <v>146959</v>
      </c>
      <c r="J254" s="262">
        <v>188390</v>
      </c>
      <c r="K254" s="262">
        <v>6344</v>
      </c>
      <c r="L254" s="262">
        <v>6462</v>
      </c>
      <c r="M254" s="262">
        <v>6471</v>
      </c>
      <c r="N254" s="262">
        <v>7595</v>
      </c>
      <c r="O254" s="262">
        <v>1535</v>
      </c>
      <c r="P254" s="262">
        <v>0</v>
      </c>
      <c r="Q254" s="262">
        <v>4075</v>
      </c>
      <c r="R254" s="262">
        <v>4075</v>
      </c>
      <c r="S254" s="262">
        <v>0</v>
      </c>
      <c r="T254" s="262">
        <v>1</v>
      </c>
      <c r="U254" s="262">
        <v>1</v>
      </c>
      <c r="V254" s="262">
        <v>1</v>
      </c>
      <c r="W254" s="262">
        <v>0</v>
      </c>
      <c r="X254" s="262">
        <v>0</v>
      </c>
      <c r="Y254" s="262">
        <v>0</v>
      </c>
      <c r="Z254" s="261" t="s">
        <v>792</v>
      </c>
      <c r="AA254" s="262">
        <v>0</v>
      </c>
      <c r="AB254" s="262">
        <v>0</v>
      </c>
      <c r="AC254" s="262">
        <v>0</v>
      </c>
      <c r="AD254" s="262">
        <v>0</v>
      </c>
      <c r="AE254" s="262">
        <v>0</v>
      </c>
      <c r="AF254" s="262">
        <v>0</v>
      </c>
      <c r="AG254" s="262">
        <v>0</v>
      </c>
      <c r="AH254" s="262">
        <v>0</v>
      </c>
      <c r="AI254" s="262">
        <v>7709</v>
      </c>
      <c r="AJ254" s="262">
        <v>7709</v>
      </c>
      <c r="AK254" s="262">
        <v>7709</v>
      </c>
      <c r="AL254" s="262">
        <v>7709</v>
      </c>
      <c r="AM254" s="262">
        <v>32334</v>
      </c>
      <c r="AN254" s="261" t="s">
        <v>792</v>
      </c>
      <c r="AO254" s="262">
        <v>12055</v>
      </c>
      <c r="AP254" s="261" t="s">
        <v>792</v>
      </c>
      <c r="AQ254" s="262">
        <v>0</v>
      </c>
      <c r="AR254" s="261" t="s">
        <v>792</v>
      </c>
      <c r="AS254" s="262">
        <v>0</v>
      </c>
      <c r="AT254" s="261" t="s">
        <v>792</v>
      </c>
      <c r="AU254" s="262">
        <v>0</v>
      </c>
      <c r="AV254" s="261" t="s">
        <v>792</v>
      </c>
      <c r="AW254" s="262">
        <v>0</v>
      </c>
      <c r="AX254" s="262">
        <v>1976744</v>
      </c>
      <c r="AY254" s="262">
        <v>0</v>
      </c>
      <c r="AZ254" s="262">
        <v>0</v>
      </c>
      <c r="BA254" s="261" t="s">
        <v>792</v>
      </c>
      <c r="BB254" s="261" t="s">
        <v>792</v>
      </c>
      <c r="BC254" s="262">
        <v>-49933</v>
      </c>
      <c r="BD254" s="261" t="s">
        <v>792</v>
      </c>
      <c r="BE254" s="262">
        <v>0</v>
      </c>
      <c r="BF254" s="261" t="s">
        <v>792</v>
      </c>
    </row>
    <row r="255" spans="1:58" x14ac:dyDescent="0.3">
      <c r="A255" s="260" t="s">
        <v>1016</v>
      </c>
      <c r="B255" s="261" t="s">
        <v>792</v>
      </c>
      <c r="C255" s="262">
        <v>0</v>
      </c>
      <c r="D255" s="262">
        <v>0</v>
      </c>
      <c r="E255" s="262">
        <v>0</v>
      </c>
      <c r="F255" s="262">
        <v>0</v>
      </c>
      <c r="G255" s="262">
        <v>0</v>
      </c>
      <c r="H255" s="262">
        <v>0</v>
      </c>
      <c r="I255" s="262">
        <v>0</v>
      </c>
      <c r="J255" s="262">
        <v>0</v>
      </c>
      <c r="K255" s="262">
        <v>0</v>
      </c>
      <c r="L255" s="262">
        <v>0</v>
      </c>
      <c r="M255" s="262">
        <v>0</v>
      </c>
      <c r="N255" s="262">
        <v>0</v>
      </c>
      <c r="O255" s="262">
        <v>0</v>
      </c>
      <c r="P255" s="262">
        <v>0</v>
      </c>
      <c r="Q255" s="262">
        <v>0</v>
      </c>
      <c r="R255" s="262">
        <v>0</v>
      </c>
      <c r="S255" s="262">
        <v>0</v>
      </c>
      <c r="T255" s="262">
        <v>0</v>
      </c>
      <c r="U255" s="262">
        <v>0</v>
      </c>
      <c r="V255" s="262">
        <v>0</v>
      </c>
      <c r="W255" s="262">
        <v>0</v>
      </c>
      <c r="X255" s="262">
        <v>0</v>
      </c>
      <c r="Y255" s="262">
        <v>0</v>
      </c>
      <c r="Z255" s="261" t="s">
        <v>792</v>
      </c>
      <c r="AA255" s="262">
        <v>0</v>
      </c>
      <c r="AB255" s="262">
        <v>0</v>
      </c>
      <c r="AC255" s="262">
        <v>0</v>
      </c>
      <c r="AD255" s="262">
        <v>0</v>
      </c>
      <c r="AE255" s="262">
        <v>-4326</v>
      </c>
      <c r="AF255" s="262">
        <v>-12429</v>
      </c>
      <c r="AG255" s="262">
        <v>-24949</v>
      </c>
      <c r="AH255" s="262">
        <v>-23579</v>
      </c>
      <c r="AI255" s="262">
        <v>-7252</v>
      </c>
      <c r="AJ255" s="262">
        <v>-33087</v>
      </c>
      <c r="AK255" s="262">
        <v>-33549</v>
      </c>
      <c r="AL255" s="262">
        <v>-33198</v>
      </c>
      <c r="AM255" s="262">
        <v>0</v>
      </c>
      <c r="AN255" s="261" t="s">
        <v>792</v>
      </c>
      <c r="AO255" s="262">
        <v>43480</v>
      </c>
      <c r="AP255" s="261" t="s">
        <v>792</v>
      </c>
      <c r="AQ255" s="262">
        <v>0</v>
      </c>
      <c r="AR255" s="261" t="s">
        <v>792</v>
      </c>
      <c r="AS255" s="262">
        <v>0</v>
      </c>
      <c r="AT255" s="261" t="s">
        <v>792</v>
      </c>
      <c r="AU255" s="262">
        <v>0</v>
      </c>
      <c r="AV255" s="261" t="s">
        <v>792</v>
      </c>
      <c r="AW255" s="262">
        <v>0</v>
      </c>
      <c r="AX255" s="262">
        <v>0</v>
      </c>
      <c r="AY255" s="262">
        <v>0</v>
      </c>
      <c r="AZ255" s="262">
        <v>0</v>
      </c>
      <c r="BA255" s="261" t="s">
        <v>792</v>
      </c>
      <c r="BB255" s="261" t="s">
        <v>792</v>
      </c>
      <c r="BC255" s="262">
        <v>0</v>
      </c>
      <c r="BD255" s="261" t="s">
        <v>792</v>
      </c>
      <c r="BE255" s="262">
        <v>0</v>
      </c>
      <c r="BF255" s="261" t="s">
        <v>792</v>
      </c>
    </row>
    <row r="256" spans="1:58" x14ac:dyDescent="0.3">
      <c r="A256" s="258" t="s">
        <v>1017</v>
      </c>
      <c r="B256" s="264" t="s">
        <v>792</v>
      </c>
      <c r="C256" s="259">
        <v>0</v>
      </c>
      <c r="D256" s="259">
        <v>0</v>
      </c>
      <c r="E256" s="259">
        <v>0</v>
      </c>
      <c r="F256" s="259">
        <v>0</v>
      </c>
      <c r="G256" s="259">
        <v>0</v>
      </c>
      <c r="H256" s="259">
        <v>0</v>
      </c>
      <c r="I256" s="259">
        <v>0</v>
      </c>
      <c r="J256" s="259">
        <v>0</v>
      </c>
      <c r="K256" s="259">
        <v>0</v>
      </c>
      <c r="L256" s="259">
        <v>0</v>
      </c>
      <c r="M256" s="259">
        <v>0</v>
      </c>
      <c r="N256" s="259">
        <v>0</v>
      </c>
      <c r="O256" s="259">
        <v>0</v>
      </c>
      <c r="P256" s="259">
        <v>0</v>
      </c>
      <c r="Q256" s="259">
        <v>0</v>
      </c>
      <c r="R256" s="259">
        <v>0</v>
      </c>
      <c r="S256" s="259">
        <v>0</v>
      </c>
      <c r="T256" s="259">
        <v>0</v>
      </c>
      <c r="U256" s="259">
        <v>0</v>
      </c>
      <c r="V256" s="259">
        <v>0</v>
      </c>
      <c r="W256" s="259">
        <v>0</v>
      </c>
      <c r="X256" s="259">
        <v>0</v>
      </c>
      <c r="Y256" s="259">
        <v>0</v>
      </c>
      <c r="Z256" s="264" t="s">
        <v>792</v>
      </c>
      <c r="AA256" s="259">
        <v>0</v>
      </c>
      <c r="AB256" s="259">
        <v>0</v>
      </c>
      <c r="AC256" s="259">
        <v>0</v>
      </c>
      <c r="AD256" s="259">
        <v>0</v>
      </c>
      <c r="AE256" s="259">
        <v>0</v>
      </c>
      <c r="AF256" s="259">
        <v>0</v>
      </c>
      <c r="AG256" s="259">
        <v>0</v>
      </c>
      <c r="AH256" s="259">
        <v>0</v>
      </c>
      <c r="AI256" s="259">
        <v>0</v>
      </c>
      <c r="AJ256" s="259">
        <v>0</v>
      </c>
      <c r="AK256" s="259">
        <v>0</v>
      </c>
      <c r="AL256" s="259">
        <v>0</v>
      </c>
      <c r="AM256" s="259">
        <v>0</v>
      </c>
      <c r="AN256" s="259">
        <v>0</v>
      </c>
      <c r="AO256" s="259">
        <v>0</v>
      </c>
      <c r="AP256" s="259">
        <v>0</v>
      </c>
      <c r="AQ256" s="259">
        <v>0</v>
      </c>
      <c r="AR256" s="259">
        <v>0</v>
      </c>
      <c r="AS256" s="259">
        <v>0</v>
      </c>
      <c r="AT256" s="259">
        <v>0</v>
      </c>
      <c r="AU256" s="259">
        <v>0</v>
      </c>
      <c r="AV256" s="259">
        <v>0</v>
      </c>
      <c r="AW256" s="259">
        <v>0</v>
      </c>
      <c r="AX256" s="259">
        <v>0</v>
      </c>
      <c r="AY256" s="259">
        <v>0</v>
      </c>
      <c r="AZ256" s="259">
        <v>0</v>
      </c>
      <c r="BA256" s="259">
        <v>0</v>
      </c>
      <c r="BB256" s="259">
        <v>0</v>
      </c>
      <c r="BC256" s="259">
        <v>0</v>
      </c>
      <c r="BD256" s="259">
        <v>0</v>
      </c>
      <c r="BE256" s="259">
        <v>0</v>
      </c>
      <c r="BF256" s="259">
        <v>-60618</v>
      </c>
    </row>
    <row r="257" spans="1:58" x14ac:dyDescent="0.3">
      <c r="A257" s="258" t="s">
        <v>1018</v>
      </c>
      <c r="B257" s="264" t="s">
        <v>792</v>
      </c>
      <c r="C257" s="259">
        <v>0</v>
      </c>
      <c r="D257" s="259">
        <v>4502</v>
      </c>
      <c r="E257" s="259">
        <v>0</v>
      </c>
      <c r="F257" s="259">
        <v>0</v>
      </c>
      <c r="G257" s="259">
        <v>0</v>
      </c>
      <c r="H257" s="259">
        <v>0</v>
      </c>
      <c r="I257" s="259">
        <v>0</v>
      </c>
      <c r="J257" s="259">
        <v>0</v>
      </c>
      <c r="K257" s="259">
        <v>0</v>
      </c>
      <c r="L257" s="259">
        <v>0</v>
      </c>
      <c r="M257" s="259">
        <v>0</v>
      </c>
      <c r="N257" s="259">
        <v>0</v>
      </c>
      <c r="O257" s="259">
        <v>0</v>
      </c>
      <c r="P257" s="259">
        <v>4075</v>
      </c>
      <c r="Q257" s="259">
        <v>0</v>
      </c>
      <c r="R257" s="259">
        <v>0</v>
      </c>
      <c r="S257" s="259">
        <v>0</v>
      </c>
      <c r="T257" s="259">
        <v>0</v>
      </c>
      <c r="U257" s="259">
        <v>0</v>
      </c>
      <c r="V257" s="259">
        <v>0</v>
      </c>
      <c r="W257" s="259">
        <v>0</v>
      </c>
      <c r="X257" s="259">
        <v>0</v>
      </c>
      <c r="Y257" s="259">
        <v>0</v>
      </c>
      <c r="Z257" s="264" t="s">
        <v>792</v>
      </c>
      <c r="AA257" s="259">
        <v>-384</v>
      </c>
      <c r="AB257" s="259">
        <v>-5158</v>
      </c>
      <c r="AC257" s="259">
        <v>-6697</v>
      </c>
      <c r="AD257" s="259">
        <v>0</v>
      </c>
      <c r="AE257" s="259">
        <v>0</v>
      </c>
      <c r="AF257" s="259">
        <v>0</v>
      </c>
      <c r="AG257" s="259">
        <v>652</v>
      </c>
      <c r="AH257" s="259">
        <v>2876</v>
      </c>
      <c r="AI257" s="259">
        <v>0</v>
      </c>
      <c r="AJ257" s="259">
        <v>0</v>
      </c>
      <c r="AK257" s="259">
        <v>-2087</v>
      </c>
      <c r="AL257" s="259">
        <v>0</v>
      </c>
      <c r="AM257" s="259">
        <v>0</v>
      </c>
      <c r="AN257" s="259">
        <v>-94952</v>
      </c>
      <c r="AO257" s="259">
        <v>-123741</v>
      </c>
      <c r="AP257" s="259">
        <v>-158495</v>
      </c>
      <c r="AQ257" s="259">
        <v>6360</v>
      </c>
      <c r="AR257" s="259">
        <v>-108671</v>
      </c>
      <c r="AS257" s="259">
        <v>-226083</v>
      </c>
      <c r="AT257" s="259">
        <v>-233685</v>
      </c>
      <c r="AU257" s="259">
        <v>1978206</v>
      </c>
      <c r="AV257" s="259">
        <v>-138391</v>
      </c>
      <c r="AW257" s="259">
        <v>1756591</v>
      </c>
      <c r="AX257" s="259">
        <v>-184588</v>
      </c>
      <c r="AY257" s="259">
        <v>5297</v>
      </c>
      <c r="AZ257" s="259">
        <v>-66043</v>
      </c>
      <c r="BA257" s="259">
        <v>-125620</v>
      </c>
      <c r="BB257" s="259">
        <v>-352759</v>
      </c>
      <c r="BC257" s="259">
        <v>-7978</v>
      </c>
      <c r="BD257" s="259">
        <v>-2480</v>
      </c>
      <c r="BE257" s="259">
        <v>-547531</v>
      </c>
      <c r="BF257" s="259">
        <v>-221404</v>
      </c>
    </row>
    <row r="258" spans="1:58" x14ac:dyDescent="0.3">
      <c r="A258" s="255" t="s">
        <v>1019</v>
      </c>
      <c r="B258" s="257">
        <v>0</v>
      </c>
      <c r="C258" s="257">
        <v>0</v>
      </c>
      <c r="D258" s="257">
        <v>0</v>
      </c>
      <c r="E258" s="257">
        <v>0</v>
      </c>
      <c r="F258" s="257">
        <v>0</v>
      </c>
      <c r="G258" s="257">
        <v>0</v>
      </c>
      <c r="H258" s="257">
        <v>0</v>
      </c>
      <c r="I258" s="257">
        <v>0</v>
      </c>
      <c r="J258" s="257">
        <v>0</v>
      </c>
      <c r="K258" s="257">
        <v>-21138</v>
      </c>
      <c r="L258" s="257">
        <v>-33444</v>
      </c>
      <c r="M258" s="257">
        <v>2635</v>
      </c>
      <c r="N258" s="257">
        <v>-1622</v>
      </c>
      <c r="O258" s="257">
        <v>0</v>
      </c>
      <c r="P258" s="257">
        <v>0</v>
      </c>
      <c r="Q258" s="257">
        <v>0</v>
      </c>
      <c r="R258" s="257">
        <v>6034</v>
      </c>
      <c r="S258" s="257">
        <v>0</v>
      </c>
      <c r="T258" s="257">
        <v>0</v>
      </c>
      <c r="U258" s="257">
        <v>0</v>
      </c>
      <c r="V258" s="257">
        <v>0</v>
      </c>
      <c r="W258" s="257">
        <v>0</v>
      </c>
      <c r="X258" s="257">
        <v>5992</v>
      </c>
      <c r="Y258" s="257">
        <v>-8019</v>
      </c>
      <c r="Z258" s="257">
        <v>-20613</v>
      </c>
      <c r="AA258" s="257">
        <v>-758</v>
      </c>
      <c r="AB258" s="257">
        <v>5654</v>
      </c>
      <c r="AC258" s="257">
        <v>5603</v>
      </c>
      <c r="AD258" s="257">
        <v>23642</v>
      </c>
      <c r="AE258" s="257">
        <v>-956</v>
      </c>
      <c r="AF258" s="257">
        <v>401</v>
      </c>
      <c r="AG258" s="257">
        <v>516</v>
      </c>
      <c r="AH258" s="257">
        <v>2082</v>
      </c>
      <c r="AI258" s="257">
        <v>-1956</v>
      </c>
      <c r="AJ258" s="257">
        <v>7441</v>
      </c>
      <c r="AK258" s="257">
        <v>11796</v>
      </c>
      <c r="AL258" s="257">
        <v>8520</v>
      </c>
      <c r="AM258" s="257">
        <v>25605</v>
      </c>
      <c r="AN258" s="257">
        <v>26314</v>
      </c>
      <c r="AO258" s="257">
        <v>34937</v>
      </c>
      <c r="AP258" s="257">
        <v>21285</v>
      </c>
      <c r="AQ258" s="257">
        <v>49501</v>
      </c>
      <c r="AR258" s="257">
        <v>66382</v>
      </c>
      <c r="AS258" s="257">
        <v>60370</v>
      </c>
      <c r="AT258" s="257">
        <v>30767</v>
      </c>
      <c r="AU258" s="257">
        <v>88065</v>
      </c>
      <c r="AV258" s="257">
        <v>-26856</v>
      </c>
      <c r="AW258" s="257">
        <v>66822</v>
      </c>
      <c r="AX258" s="257">
        <v>93563</v>
      </c>
      <c r="AY258" s="257">
        <v>-391204</v>
      </c>
      <c r="AZ258" s="257">
        <v>-619722</v>
      </c>
      <c r="BA258" s="257">
        <v>135221</v>
      </c>
      <c r="BB258" s="257">
        <v>-118833</v>
      </c>
      <c r="BC258" s="257">
        <v>-257667</v>
      </c>
      <c r="BD258" s="257">
        <v>-207748</v>
      </c>
      <c r="BE258" s="257">
        <v>22248</v>
      </c>
      <c r="BF258" s="257">
        <v>-855986</v>
      </c>
    </row>
    <row r="259" spans="1:58" x14ac:dyDescent="0.3">
      <c r="A259" s="255" t="s">
        <v>1020</v>
      </c>
      <c r="B259" s="257">
        <v>0</v>
      </c>
      <c r="C259" s="257">
        <v>0</v>
      </c>
      <c r="D259" s="257">
        <v>0</v>
      </c>
      <c r="E259" s="257">
        <v>0</v>
      </c>
      <c r="F259" s="257">
        <v>0</v>
      </c>
      <c r="G259" s="257">
        <v>0</v>
      </c>
      <c r="H259" s="257">
        <v>0</v>
      </c>
      <c r="I259" s="257">
        <v>0</v>
      </c>
      <c r="J259" s="257">
        <v>0</v>
      </c>
      <c r="K259" s="257">
        <v>0</v>
      </c>
      <c r="L259" s="257">
        <v>0</v>
      </c>
      <c r="M259" s="257">
        <v>0</v>
      </c>
      <c r="N259" s="257">
        <v>0</v>
      </c>
      <c r="O259" s="257">
        <v>0</v>
      </c>
      <c r="P259" s="257">
        <v>0</v>
      </c>
      <c r="Q259" s="257">
        <v>0</v>
      </c>
      <c r="R259" s="257">
        <v>0</v>
      </c>
      <c r="S259" s="257">
        <v>0</v>
      </c>
      <c r="T259" s="257">
        <v>0</v>
      </c>
      <c r="U259" s="257">
        <v>0</v>
      </c>
      <c r="V259" s="257">
        <v>0</v>
      </c>
      <c r="W259" s="257">
        <v>0</v>
      </c>
      <c r="X259" s="257">
        <v>0</v>
      </c>
      <c r="Y259" s="257">
        <v>0</v>
      </c>
      <c r="Z259" s="257">
        <v>0</v>
      </c>
      <c r="AA259" s="257">
        <v>0</v>
      </c>
      <c r="AB259" s="257">
        <v>0</v>
      </c>
      <c r="AC259" s="257">
        <v>0</v>
      </c>
      <c r="AD259" s="257">
        <v>0</v>
      </c>
      <c r="AE259" s="257">
        <v>0</v>
      </c>
      <c r="AF259" s="257">
        <v>0</v>
      </c>
      <c r="AG259" s="257">
        <v>0</v>
      </c>
      <c r="AH259" s="257">
        <v>0</v>
      </c>
      <c r="AI259" s="257">
        <v>0</v>
      </c>
      <c r="AJ259" s="257">
        <v>0</v>
      </c>
      <c r="AK259" s="257">
        <v>0</v>
      </c>
      <c r="AL259" s="257">
        <v>0</v>
      </c>
      <c r="AM259" s="257">
        <v>0</v>
      </c>
      <c r="AN259" s="257">
        <v>0</v>
      </c>
      <c r="AO259" s="257">
        <v>0</v>
      </c>
      <c r="AP259" s="257">
        <v>0</v>
      </c>
      <c r="AQ259" s="257">
        <v>0</v>
      </c>
      <c r="AR259" s="257">
        <v>0</v>
      </c>
      <c r="AS259" s="257">
        <v>0</v>
      </c>
      <c r="AT259" s="257">
        <v>0</v>
      </c>
      <c r="AU259" s="257">
        <v>0</v>
      </c>
      <c r="AV259" s="257">
        <v>0</v>
      </c>
      <c r="AW259" s="257">
        <v>0</v>
      </c>
      <c r="AX259" s="257">
        <v>0</v>
      </c>
      <c r="AY259" s="257">
        <v>0</v>
      </c>
      <c r="AZ259" s="257">
        <v>0</v>
      </c>
      <c r="BA259" s="257">
        <v>0</v>
      </c>
      <c r="BB259" s="257">
        <v>0</v>
      </c>
      <c r="BC259" s="257">
        <v>0</v>
      </c>
      <c r="BD259" s="257">
        <v>0</v>
      </c>
      <c r="BE259" s="257">
        <v>0</v>
      </c>
      <c r="BF259" s="257">
        <v>0</v>
      </c>
    </row>
    <row r="260" spans="1:58" x14ac:dyDescent="0.3">
      <c r="A260" s="255" t="s">
        <v>1021</v>
      </c>
      <c r="B260" s="257">
        <v>344759</v>
      </c>
      <c r="C260" s="257">
        <v>-1958</v>
      </c>
      <c r="D260" s="257">
        <v>215</v>
      </c>
      <c r="E260" s="257">
        <v>-1824</v>
      </c>
      <c r="F260" s="257">
        <v>17061</v>
      </c>
      <c r="G260" s="257">
        <v>-14114</v>
      </c>
      <c r="H260" s="257">
        <v>63407</v>
      </c>
      <c r="I260" s="257">
        <v>56622</v>
      </c>
      <c r="J260" s="257">
        <v>36152</v>
      </c>
      <c r="K260" s="257">
        <v>-14869</v>
      </c>
      <c r="L260" s="257">
        <v>-521</v>
      </c>
      <c r="M260" s="257">
        <v>-3989</v>
      </c>
      <c r="N260" s="257">
        <v>-19394</v>
      </c>
      <c r="O260" s="257">
        <v>11801</v>
      </c>
      <c r="P260" s="257">
        <v>2919</v>
      </c>
      <c r="Q260" s="257">
        <v>-25635</v>
      </c>
      <c r="R260" s="257">
        <v>-4026</v>
      </c>
      <c r="S260" s="257">
        <v>153355</v>
      </c>
      <c r="T260" s="257">
        <v>315999</v>
      </c>
      <c r="U260" s="257">
        <v>364106</v>
      </c>
      <c r="V260" s="257">
        <v>317052</v>
      </c>
      <c r="W260" s="257">
        <v>-41447</v>
      </c>
      <c r="X260" s="257">
        <v>-22777</v>
      </c>
      <c r="Y260" s="257">
        <v>-183440</v>
      </c>
      <c r="Z260" s="257">
        <v>-66683</v>
      </c>
      <c r="AA260" s="257">
        <v>-118464</v>
      </c>
      <c r="AB260" s="257">
        <v>-255882</v>
      </c>
      <c r="AC260" s="257">
        <v>-270678</v>
      </c>
      <c r="AD260" s="257">
        <v>-259158</v>
      </c>
      <c r="AE260" s="257">
        <v>-11440</v>
      </c>
      <c r="AF260" s="257">
        <v>16237</v>
      </c>
      <c r="AG260" s="257">
        <v>3085</v>
      </c>
      <c r="AH260" s="257">
        <v>67652</v>
      </c>
      <c r="AI260" s="257">
        <v>-5782</v>
      </c>
      <c r="AJ260" s="257">
        <v>-23114</v>
      </c>
      <c r="AK260" s="257">
        <v>-64285</v>
      </c>
      <c r="AL260" s="257">
        <v>61664</v>
      </c>
      <c r="AM260" s="257">
        <v>-46747</v>
      </c>
      <c r="AN260" s="257">
        <v>205886</v>
      </c>
      <c r="AO260" s="257">
        <v>171928</v>
      </c>
      <c r="AP260" s="257">
        <v>272404</v>
      </c>
      <c r="AQ260" s="257">
        <v>-144218</v>
      </c>
      <c r="AR260" s="257">
        <v>-139709</v>
      </c>
      <c r="AS260" s="257">
        <v>-36811</v>
      </c>
      <c r="AT260" s="257">
        <v>349876</v>
      </c>
      <c r="AU260" s="257">
        <v>2375758</v>
      </c>
      <c r="AV260" s="257">
        <v>2572346</v>
      </c>
      <c r="AW260" s="257">
        <v>1139706</v>
      </c>
      <c r="AX260" s="257">
        <v>161408</v>
      </c>
      <c r="AY260" s="257">
        <v>2120933</v>
      </c>
      <c r="AZ260" s="257">
        <v>2222700</v>
      </c>
      <c r="BA260" s="257">
        <v>7392025</v>
      </c>
      <c r="BB260" s="257">
        <v>8642280</v>
      </c>
      <c r="BC260" s="257">
        <v>-9085781</v>
      </c>
      <c r="BD260" s="257">
        <v>-8457708</v>
      </c>
      <c r="BE260" s="257">
        <v>-7387702</v>
      </c>
      <c r="BF260" s="257">
        <v>-7277558</v>
      </c>
    </row>
    <row r="261" spans="1:58" x14ac:dyDescent="0.3">
      <c r="A261" s="255"/>
      <c r="B261" s="256"/>
      <c r="C261" s="256"/>
      <c r="D261" s="256"/>
      <c r="E261" s="256"/>
      <c r="F261" s="256"/>
      <c r="G261" s="256"/>
      <c r="H261" s="256"/>
      <c r="I261" s="256"/>
      <c r="J261" s="256"/>
      <c r="K261" s="256"/>
      <c r="L261" s="256"/>
      <c r="M261" s="256"/>
      <c r="N261" s="256"/>
      <c r="O261" s="256"/>
      <c r="P261" s="256"/>
      <c r="Q261" s="256"/>
      <c r="R261" s="256"/>
      <c r="S261" s="256"/>
      <c r="T261" s="256"/>
      <c r="U261" s="256"/>
      <c r="V261" s="256"/>
      <c r="W261" s="256"/>
      <c r="X261" s="256"/>
      <c r="Y261" s="256"/>
      <c r="Z261" s="256"/>
      <c r="AA261" s="256"/>
      <c r="AB261" s="256"/>
      <c r="AC261" s="256"/>
      <c r="AD261" s="256"/>
      <c r="AE261" s="256"/>
      <c r="AF261" s="256"/>
      <c r="AG261" s="256"/>
      <c r="AH261" s="256"/>
      <c r="AI261" s="256"/>
      <c r="AJ261" s="256"/>
      <c r="AK261" s="256"/>
      <c r="AL261" s="256"/>
      <c r="AM261" s="256"/>
      <c r="AN261" s="256"/>
      <c r="AO261" s="256"/>
      <c r="AP261" s="256"/>
      <c r="AQ261" s="256"/>
      <c r="AR261" s="256"/>
      <c r="AS261" s="256"/>
      <c r="AT261" s="256"/>
      <c r="AU261" s="256"/>
      <c r="AV261" s="256"/>
      <c r="AW261" s="256"/>
      <c r="AX261" s="256"/>
      <c r="AY261" s="256"/>
      <c r="AZ261" s="256"/>
      <c r="BA261" s="256"/>
      <c r="BB261" s="256"/>
      <c r="BC261" s="256"/>
      <c r="BD261" s="256"/>
      <c r="BE261" s="256"/>
      <c r="BF261" s="256"/>
    </row>
    <row r="262" spans="1:58" x14ac:dyDescent="0.3">
      <c r="A262" s="255" t="s">
        <v>782</v>
      </c>
      <c r="B262" s="256" t="s">
        <v>5</v>
      </c>
      <c r="C262" s="256" t="s">
        <v>5</v>
      </c>
      <c r="D262" s="256" t="s">
        <v>5</v>
      </c>
      <c r="E262" s="256" t="s">
        <v>5</v>
      </c>
      <c r="F262" s="256" t="s">
        <v>5</v>
      </c>
      <c r="G262" s="256" t="s">
        <v>5</v>
      </c>
      <c r="H262" s="256" t="s">
        <v>5</v>
      </c>
      <c r="I262" s="256" t="s">
        <v>5</v>
      </c>
      <c r="J262" s="256" t="s">
        <v>5</v>
      </c>
      <c r="K262" s="256" t="s">
        <v>5</v>
      </c>
      <c r="L262" s="256" t="s">
        <v>5</v>
      </c>
      <c r="M262" s="256" t="s">
        <v>5</v>
      </c>
      <c r="N262" s="256" t="s">
        <v>5</v>
      </c>
      <c r="O262" s="256" t="s">
        <v>5</v>
      </c>
      <c r="P262" s="256" t="s">
        <v>5</v>
      </c>
      <c r="Q262" s="256" t="s">
        <v>5</v>
      </c>
      <c r="R262" s="256" t="s">
        <v>5</v>
      </c>
      <c r="S262" s="256" t="s">
        <v>5</v>
      </c>
      <c r="T262" s="256" t="s">
        <v>5</v>
      </c>
      <c r="U262" s="256" t="s">
        <v>5</v>
      </c>
      <c r="V262" s="256" t="s">
        <v>5</v>
      </c>
      <c r="W262" s="256" t="s">
        <v>5</v>
      </c>
      <c r="X262" s="256" t="s">
        <v>5</v>
      </c>
      <c r="Y262" s="256" t="s">
        <v>5</v>
      </c>
      <c r="Z262" s="256" t="s">
        <v>5</v>
      </c>
      <c r="AA262" s="256" t="s">
        <v>5</v>
      </c>
      <c r="AB262" s="256" t="s">
        <v>5</v>
      </c>
      <c r="AC262" s="256" t="s">
        <v>5</v>
      </c>
      <c r="AD262" s="256" t="s">
        <v>5</v>
      </c>
      <c r="AE262" s="256" t="s">
        <v>5</v>
      </c>
      <c r="AF262" s="256" t="s">
        <v>5</v>
      </c>
      <c r="AG262" s="256" t="s">
        <v>5</v>
      </c>
      <c r="AH262" s="256" t="s">
        <v>5</v>
      </c>
      <c r="AI262" s="256" t="s">
        <v>5</v>
      </c>
      <c r="AJ262" s="256" t="s">
        <v>5</v>
      </c>
      <c r="AK262" s="256" t="s">
        <v>5</v>
      </c>
      <c r="AL262" s="256" t="s">
        <v>5</v>
      </c>
      <c r="AM262" s="256" t="s">
        <v>5</v>
      </c>
      <c r="AN262" s="256" t="s">
        <v>5</v>
      </c>
      <c r="AO262" s="256" t="s">
        <v>5</v>
      </c>
      <c r="AP262" s="256" t="s">
        <v>5</v>
      </c>
      <c r="AQ262" s="256" t="s">
        <v>5</v>
      </c>
      <c r="AR262" s="256" t="s">
        <v>5</v>
      </c>
      <c r="AS262" s="256" t="s">
        <v>5</v>
      </c>
      <c r="AT262" s="256" t="s">
        <v>5</v>
      </c>
      <c r="AU262" s="256" t="s">
        <v>5</v>
      </c>
      <c r="AV262" s="256" t="s">
        <v>5</v>
      </c>
      <c r="AW262" s="256" t="s">
        <v>5</v>
      </c>
      <c r="AX262" s="256" t="s">
        <v>5</v>
      </c>
      <c r="AY262" s="256" t="s">
        <v>5</v>
      </c>
      <c r="AZ262" s="256" t="s">
        <v>5</v>
      </c>
      <c r="BA262" s="256" t="s">
        <v>5</v>
      </c>
      <c r="BB262" s="256" t="s">
        <v>5</v>
      </c>
      <c r="BC262" s="256" t="s">
        <v>5</v>
      </c>
      <c r="BD262" s="256" t="s">
        <v>5</v>
      </c>
      <c r="BE262" s="256" t="s">
        <v>5</v>
      </c>
      <c r="BF262" s="256" t="s">
        <v>5</v>
      </c>
    </row>
    <row r="263" spans="1:58" x14ac:dyDescent="0.3">
      <c r="A263" s="255" t="s">
        <v>783</v>
      </c>
      <c r="B263" s="256" t="s">
        <v>784</v>
      </c>
      <c r="C263" s="256" t="s">
        <v>784</v>
      </c>
      <c r="D263" s="256" t="s">
        <v>784</v>
      </c>
      <c r="E263" s="256" t="s">
        <v>784</v>
      </c>
      <c r="F263" s="256" t="s">
        <v>785</v>
      </c>
      <c r="G263" s="256" t="s">
        <v>785</v>
      </c>
      <c r="H263" s="256" t="s">
        <v>785</v>
      </c>
      <c r="I263" s="256" t="s">
        <v>785</v>
      </c>
      <c r="J263" s="256" t="s">
        <v>785</v>
      </c>
      <c r="K263" s="256" t="s">
        <v>785</v>
      </c>
      <c r="L263" s="256" t="s">
        <v>785</v>
      </c>
      <c r="M263" s="256" t="s">
        <v>785</v>
      </c>
      <c r="N263" s="256" t="s">
        <v>785</v>
      </c>
      <c r="O263" s="256" t="s">
        <v>785</v>
      </c>
      <c r="P263" s="256" t="s">
        <v>785</v>
      </c>
      <c r="Q263" s="256" t="s">
        <v>785</v>
      </c>
      <c r="R263" s="256" t="s">
        <v>785</v>
      </c>
      <c r="S263" s="256" t="s">
        <v>785</v>
      </c>
      <c r="T263" s="256" t="s">
        <v>785</v>
      </c>
      <c r="U263" s="256" t="s">
        <v>785</v>
      </c>
      <c r="V263" s="256" t="s">
        <v>785</v>
      </c>
      <c r="W263" s="256" t="s">
        <v>785</v>
      </c>
      <c r="X263" s="256" t="s">
        <v>785</v>
      </c>
      <c r="Y263" s="256" t="s">
        <v>785</v>
      </c>
      <c r="Z263" s="256" t="s">
        <v>785</v>
      </c>
      <c r="AA263" s="256" t="s">
        <v>785</v>
      </c>
      <c r="AB263" s="256" t="s">
        <v>785</v>
      </c>
      <c r="AC263" s="256" t="s">
        <v>785</v>
      </c>
      <c r="AD263" s="256" t="s">
        <v>785</v>
      </c>
      <c r="AE263" s="256" t="s">
        <v>785</v>
      </c>
      <c r="AF263" s="256" t="s">
        <v>785</v>
      </c>
      <c r="AG263" s="256" t="s">
        <v>785</v>
      </c>
      <c r="AH263" s="256" t="s">
        <v>785</v>
      </c>
      <c r="AI263" s="256" t="s">
        <v>785</v>
      </c>
      <c r="AJ263" s="256" t="s">
        <v>785</v>
      </c>
      <c r="AK263" s="256" t="s">
        <v>785</v>
      </c>
      <c r="AL263" s="256" t="s">
        <v>785</v>
      </c>
      <c r="AM263" s="256" t="s">
        <v>785</v>
      </c>
      <c r="AN263" s="256" t="s">
        <v>785</v>
      </c>
      <c r="AO263" s="256" t="s">
        <v>785</v>
      </c>
      <c r="AP263" s="256" t="s">
        <v>785</v>
      </c>
      <c r="AQ263" s="256" t="s">
        <v>785</v>
      </c>
      <c r="AR263" s="256" t="s">
        <v>785</v>
      </c>
      <c r="AS263" s="256" t="s">
        <v>785</v>
      </c>
      <c r="AT263" s="256" t="s">
        <v>785</v>
      </c>
      <c r="AU263" s="256" t="s">
        <v>785</v>
      </c>
      <c r="AV263" s="256" t="s">
        <v>785</v>
      </c>
      <c r="AW263" s="256" t="s">
        <v>785</v>
      </c>
      <c r="AX263" s="256" t="s">
        <v>785</v>
      </c>
      <c r="AY263" s="256" t="s">
        <v>785</v>
      </c>
      <c r="AZ263" s="256" t="s">
        <v>785</v>
      </c>
      <c r="BA263" s="256" t="s">
        <v>785</v>
      </c>
      <c r="BB263" s="256" t="s">
        <v>785</v>
      </c>
      <c r="BC263" s="256" t="s">
        <v>785</v>
      </c>
      <c r="BD263" s="256" t="s">
        <v>785</v>
      </c>
      <c r="BE263" s="256" t="s">
        <v>785</v>
      </c>
      <c r="BF263" s="256" t="s">
        <v>785</v>
      </c>
    </row>
    <row r="264" spans="1:58" x14ac:dyDescent="0.3">
      <c r="A264" s="255"/>
      <c r="B264" s="256"/>
      <c r="C264" s="256"/>
      <c r="D264" s="256"/>
      <c r="E264" s="256"/>
      <c r="F264" s="256"/>
      <c r="G264" s="256"/>
      <c r="H264" s="256"/>
      <c r="I264" s="256"/>
      <c r="J264" s="256"/>
      <c r="K264" s="256"/>
      <c r="L264" s="256"/>
      <c r="M264" s="256"/>
      <c r="N264" s="256"/>
      <c r="O264" s="256"/>
      <c r="P264" s="256"/>
      <c r="Q264" s="256"/>
      <c r="R264" s="256"/>
      <c r="S264" s="256"/>
      <c r="T264" s="256"/>
      <c r="U264" s="256"/>
      <c r="V264" s="256"/>
      <c r="W264" s="256"/>
      <c r="X264" s="256"/>
      <c r="Y264" s="256"/>
      <c r="Z264" s="256"/>
      <c r="AA264" s="256"/>
      <c r="AB264" s="256"/>
      <c r="AC264" s="256"/>
      <c r="AD264" s="256"/>
      <c r="AE264" s="256"/>
      <c r="AF264" s="256"/>
      <c r="AG264" s="256"/>
      <c r="AH264" s="256"/>
      <c r="AI264" s="256"/>
      <c r="AJ264" s="256"/>
      <c r="AK264" s="256"/>
      <c r="AL264" s="256"/>
      <c r="AM264" s="256"/>
      <c r="AN264" s="256"/>
      <c r="AO264" s="256"/>
      <c r="AP264" s="256"/>
      <c r="AQ264" s="256"/>
      <c r="AR264" s="256"/>
      <c r="AS264" s="256"/>
      <c r="AT264" s="256"/>
      <c r="AU264" s="256"/>
      <c r="AV264" s="256"/>
      <c r="AW264" s="256"/>
      <c r="AX264" s="256"/>
      <c r="AY264" s="256"/>
      <c r="AZ264" s="256"/>
      <c r="BA264" s="256"/>
      <c r="BB264" s="256"/>
      <c r="BC264" s="256"/>
      <c r="BD264" s="256"/>
      <c r="BE264" s="256"/>
      <c r="BF264" s="256"/>
    </row>
    <row r="265" spans="1:58" x14ac:dyDescent="0.3">
      <c r="A265" s="255" t="s">
        <v>788</v>
      </c>
      <c r="B265" s="256" t="s">
        <v>5</v>
      </c>
      <c r="C265" s="256" t="s">
        <v>5</v>
      </c>
      <c r="D265" s="256" t="s">
        <v>5</v>
      </c>
      <c r="E265" s="256" t="s">
        <v>5</v>
      </c>
      <c r="F265" s="256" t="s">
        <v>5</v>
      </c>
      <c r="G265" s="256" t="s">
        <v>5</v>
      </c>
      <c r="H265" s="256" t="s">
        <v>5</v>
      </c>
      <c r="I265" s="256" t="s">
        <v>5</v>
      </c>
      <c r="J265" s="256" t="s">
        <v>5</v>
      </c>
      <c r="K265" s="256" t="s">
        <v>5</v>
      </c>
      <c r="L265" s="256" t="s">
        <v>5</v>
      </c>
      <c r="M265" s="256" t="s">
        <v>5</v>
      </c>
      <c r="N265" s="256" t="s">
        <v>5</v>
      </c>
      <c r="O265" s="256" t="s">
        <v>5</v>
      </c>
      <c r="P265" s="256" t="s">
        <v>5</v>
      </c>
      <c r="Q265" s="256" t="s">
        <v>5</v>
      </c>
      <c r="R265" s="256" t="s">
        <v>5</v>
      </c>
      <c r="S265" s="256" t="s">
        <v>5</v>
      </c>
      <c r="T265" s="256" t="s">
        <v>5</v>
      </c>
      <c r="U265" s="256" t="s">
        <v>5</v>
      </c>
      <c r="V265" s="256" t="s">
        <v>5</v>
      </c>
      <c r="W265" s="256" t="s">
        <v>5</v>
      </c>
      <c r="X265" s="256" t="s">
        <v>5</v>
      </c>
      <c r="Y265" s="256" t="s">
        <v>5</v>
      </c>
      <c r="Z265" s="256" t="s">
        <v>5</v>
      </c>
      <c r="AA265" s="256" t="s">
        <v>5</v>
      </c>
      <c r="AB265" s="256" t="s">
        <v>5</v>
      </c>
      <c r="AC265" s="256" t="s">
        <v>5</v>
      </c>
      <c r="AD265" s="256" t="s">
        <v>5</v>
      </c>
      <c r="AE265" s="256" t="s">
        <v>5</v>
      </c>
      <c r="AF265" s="256" t="s">
        <v>5</v>
      </c>
      <c r="AG265" s="256" t="s">
        <v>5</v>
      </c>
      <c r="AH265" s="256" t="s">
        <v>5</v>
      </c>
      <c r="AI265" s="256" t="s">
        <v>5</v>
      </c>
      <c r="AJ265" s="256" t="s">
        <v>5</v>
      </c>
      <c r="AK265" s="256" t="s">
        <v>5</v>
      </c>
      <c r="AL265" s="256" t="s">
        <v>5</v>
      </c>
      <c r="AM265" s="256" t="s">
        <v>5</v>
      </c>
      <c r="AN265" s="256" t="s">
        <v>5</v>
      </c>
      <c r="AO265" s="256" t="s">
        <v>5</v>
      </c>
      <c r="AP265" s="256" t="s">
        <v>5</v>
      </c>
      <c r="AQ265" s="256" t="s">
        <v>5</v>
      </c>
      <c r="AR265" s="256" t="s">
        <v>5</v>
      </c>
      <c r="AS265" s="256" t="s">
        <v>5</v>
      </c>
      <c r="AT265" s="256" t="s">
        <v>5</v>
      </c>
      <c r="AU265" s="256" t="s">
        <v>5</v>
      </c>
      <c r="AV265" s="256" t="s">
        <v>5</v>
      </c>
      <c r="AW265" s="256" t="s">
        <v>5</v>
      </c>
      <c r="AX265" s="256" t="s">
        <v>5</v>
      </c>
      <c r="AY265" s="256" t="s">
        <v>5</v>
      </c>
      <c r="AZ265" s="256" t="s">
        <v>5</v>
      </c>
      <c r="BA265" s="256" t="s">
        <v>5</v>
      </c>
      <c r="BB265" s="256" t="s">
        <v>5</v>
      </c>
      <c r="BC265" s="256" t="s">
        <v>5</v>
      </c>
      <c r="BD265" s="256" t="s">
        <v>5</v>
      </c>
      <c r="BE265" s="256" t="s">
        <v>5</v>
      </c>
      <c r="BF265" s="256" t="s">
        <v>5</v>
      </c>
    </row>
    <row r="266" spans="1:58" x14ac:dyDescent="0.3">
      <c r="A266" s="255" t="s">
        <v>789</v>
      </c>
      <c r="B266" s="257">
        <v>417861</v>
      </c>
      <c r="C266" s="257">
        <v>402826</v>
      </c>
      <c r="D266" s="257">
        <v>422430</v>
      </c>
      <c r="E266" s="257">
        <v>396183</v>
      </c>
      <c r="F266" s="257">
        <v>2695652</v>
      </c>
      <c r="G266" s="257">
        <v>2708775</v>
      </c>
      <c r="H266" s="257">
        <v>4379278</v>
      </c>
      <c r="I266" s="257">
        <v>4422095</v>
      </c>
      <c r="J266" s="257">
        <v>5390091</v>
      </c>
      <c r="K266" s="257">
        <v>5823076</v>
      </c>
      <c r="L266" s="257">
        <v>4366107</v>
      </c>
      <c r="M266" s="257">
        <v>4246531</v>
      </c>
      <c r="N266" s="257">
        <v>4256468</v>
      </c>
      <c r="O266" s="257">
        <v>4217434</v>
      </c>
      <c r="P266" s="257">
        <v>4179763</v>
      </c>
      <c r="Q266" s="257">
        <v>3171132</v>
      </c>
      <c r="R266" s="257">
        <v>1805279</v>
      </c>
      <c r="S266" s="257">
        <v>1942225</v>
      </c>
      <c r="T266" s="257">
        <v>1931284</v>
      </c>
      <c r="U266" s="257">
        <v>1981903</v>
      </c>
      <c r="V266" s="257">
        <v>1061138</v>
      </c>
      <c r="W266" s="257">
        <v>1133728</v>
      </c>
      <c r="X266" s="257">
        <v>1043268</v>
      </c>
      <c r="Y266" s="257">
        <v>1233805</v>
      </c>
      <c r="Z266" s="257">
        <v>1177037</v>
      </c>
      <c r="AA266" s="257">
        <v>1098993</v>
      </c>
      <c r="AB266" s="257">
        <v>998456</v>
      </c>
      <c r="AC266" s="257">
        <v>1087135</v>
      </c>
      <c r="AD266" s="257">
        <v>1082369</v>
      </c>
      <c r="AE266" s="257">
        <v>1400312</v>
      </c>
      <c r="AF266" s="257">
        <v>1379460</v>
      </c>
      <c r="AG266" s="257">
        <v>1377661</v>
      </c>
      <c r="AH266" s="257">
        <v>1251764</v>
      </c>
      <c r="AI266" s="257">
        <v>1228426</v>
      </c>
      <c r="AJ266" s="257">
        <v>1459604</v>
      </c>
      <c r="AK266" s="257">
        <v>1279999</v>
      </c>
      <c r="AL266" s="257">
        <v>1537063</v>
      </c>
      <c r="AM266" s="257">
        <v>4332603</v>
      </c>
      <c r="AN266" s="257">
        <v>4387144</v>
      </c>
      <c r="AO266" s="257">
        <v>4596221</v>
      </c>
      <c r="AP266" s="257">
        <v>5489751</v>
      </c>
      <c r="AQ266" s="257">
        <v>6984388</v>
      </c>
      <c r="AR266" s="257">
        <v>6660586</v>
      </c>
      <c r="AS266" s="257">
        <v>7055431</v>
      </c>
      <c r="AT266" s="257">
        <v>6792833</v>
      </c>
      <c r="AU266" s="257">
        <v>9341748</v>
      </c>
      <c r="AV266" s="257">
        <v>10504500</v>
      </c>
      <c r="AW266" s="257">
        <v>11445166</v>
      </c>
      <c r="AX266" s="257">
        <v>12221416</v>
      </c>
      <c r="AY266" s="257">
        <v>12862921</v>
      </c>
      <c r="AZ266" s="257">
        <v>16292271</v>
      </c>
      <c r="BA266" s="257">
        <v>19920152</v>
      </c>
      <c r="BB266" s="257">
        <v>20302520</v>
      </c>
      <c r="BC266" s="257">
        <v>25623115</v>
      </c>
      <c r="BD266" s="257">
        <v>25991952</v>
      </c>
      <c r="BE266" s="257">
        <v>28521683</v>
      </c>
      <c r="BF266" s="257">
        <v>28310932</v>
      </c>
    </row>
    <row r="267" spans="1:58" x14ac:dyDescent="0.3">
      <c r="A267" s="258" t="s">
        <v>790</v>
      </c>
      <c r="B267" s="259">
        <v>355870</v>
      </c>
      <c r="C267" s="259">
        <v>311942</v>
      </c>
      <c r="D267" s="259">
        <v>266515</v>
      </c>
      <c r="E267" s="259">
        <v>170640</v>
      </c>
      <c r="F267" s="259">
        <v>2446144</v>
      </c>
      <c r="G267" s="259">
        <v>2317659</v>
      </c>
      <c r="H267" s="259">
        <v>979498</v>
      </c>
      <c r="I267" s="259">
        <v>2143674</v>
      </c>
      <c r="J267" s="259">
        <v>2853585</v>
      </c>
      <c r="K267" s="259">
        <v>2044900</v>
      </c>
      <c r="L267" s="259">
        <v>1449213</v>
      </c>
      <c r="M267" s="259">
        <v>1242500</v>
      </c>
      <c r="N267" s="259">
        <v>982930</v>
      </c>
      <c r="O267" s="259">
        <v>944726</v>
      </c>
      <c r="P267" s="259">
        <v>648540</v>
      </c>
      <c r="Q267" s="259">
        <v>474340</v>
      </c>
      <c r="R267" s="259">
        <v>673250</v>
      </c>
      <c r="S267" s="259">
        <v>601361</v>
      </c>
      <c r="T267" s="259">
        <v>656632</v>
      </c>
      <c r="U267" s="259">
        <v>695377</v>
      </c>
      <c r="V267" s="259">
        <v>806236</v>
      </c>
      <c r="W267" s="259">
        <v>813775</v>
      </c>
      <c r="X267" s="259">
        <v>749206</v>
      </c>
      <c r="Y267" s="259">
        <v>891147</v>
      </c>
      <c r="Z267" s="259">
        <v>899822</v>
      </c>
      <c r="AA267" s="259">
        <v>822542</v>
      </c>
      <c r="AB267" s="259">
        <v>716120</v>
      </c>
      <c r="AC267" s="259">
        <v>784300</v>
      </c>
      <c r="AD267" s="259">
        <v>781580</v>
      </c>
      <c r="AE267" s="259">
        <v>927548</v>
      </c>
      <c r="AF267" s="259">
        <v>911831</v>
      </c>
      <c r="AG267" s="259">
        <v>921758</v>
      </c>
      <c r="AH267" s="259">
        <v>849655</v>
      </c>
      <c r="AI267" s="259">
        <v>807148</v>
      </c>
      <c r="AJ267" s="259">
        <v>985089</v>
      </c>
      <c r="AK267" s="259">
        <v>794540</v>
      </c>
      <c r="AL267" s="259">
        <v>1039562</v>
      </c>
      <c r="AM267" s="259">
        <v>675301</v>
      </c>
      <c r="AN267" s="259">
        <v>1000921</v>
      </c>
      <c r="AO267" s="259">
        <v>1139211</v>
      </c>
      <c r="AP267" s="259">
        <v>1513090</v>
      </c>
      <c r="AQ267" s="259">
        <v>1732269</v>
      </c>
      <c r="AR267" s="259">
        <v>1400073</v>
      </c>
      <c r="AS267" s="259">
        <v>1650433</v>
      </c>
      <c r="AT267" s="259">
        <v>1841415</v>
      </c>
      <c r="AU267" s="259">
        <v>4097287</v>
      </c>
      <c r="AV267" s="259">
        <v>5517215</v>
      </c>
      <c r="AW267" s="259">
        <v>5463662</v>
      </c>
      <c r="AX267" s="259">
        <v>6106295</v>
      </c>
      <c r="AY267" s="259">
        <v>6805410</v>
      </c>
      <c r="AZ267" s="259">
        <v>7975120</v>
      </c>
      <c r="BA267" s="259">
        <v>11122283</v>
      </c>
      <c r="BB267" s="259">
        <v>10602627</v>
      </c>
      <c r="BC267" s="259">
        <v>3884323</v>
      </c>
      <c r="BD267" s="259">
        <v>3664023</v>
      </c>
      <c r="BE267" s="259">
        <v>5086534</v>
      </c>
      <c r="BF267" s="259">
        <v>5294874</v>
      </c>
    </row>
    <row r="268" spans="1:58" x14ac:dyDescent="0.3">
      <c r="A268" s="260" t="s">
        <v>1022</v>
      </c>
      <c r="B268" s="262">
        <v>344759</v>
      </c>
      <c r="C268" s="262">
        <v>301515</v>
      </c>
      <c r="D268" s="262">
        <v>251622</v>
      </c>
      <c r="E268" s="262">
        <v>152946</v>
      </c>
      <c r="F268" s="261" t="s">
        <v>792</v>
      </c>
      <c r="G268" s="261" t="s">
        <v>792</v>
      </c>
      <c r="H268" s="261" t="s">
        <v>792</v>
      </c>
      <c r="I268" s="261" t="s">
        <v>792</v>
      </c>
      <c r="J268" s="261" t="s">
        <v>792</v>
      </c>
      <c r="K268" s="261" t="s">
        <v>792</v>
      </c>
      <c r="L268" s="261" t="s">
        <v>792</v>
      </c>
      <c r="M268" s="261" t="s">
        <v>792</v>
      </c>
      <c r="N268" s="261" t="s">
        <v>792</v>
      </c>
      <c r="O268" s="261" t="s">
        <v>792</v>
      </c>
      <c r="P268" s="261" t="s">
        <v>792</v>
      </c>
      <c r="Q268" s="261" t="s">
        <v>792</v>
      </c>
      <c r="R268" s="261" t="s">
        <v>792</v>
      </c>
      <c r="S268" s="261" t="s">
        <v>792</v>
      </c>
      <c r="T268" s="261" t="s">
        <v>792</v>
      </c>
      <c r="U268" s="261" t="s">
        <v>792</v>
      </c>
      <c r="V268" s="261" t="s">
        <v>792</v>
      </c>
      <c r="W268" s="261" t="s">
        <v>792</v>
      </c>
      <c r="X268" s="261" t="s">
        <v>792</v>
      </c>
      <c r="Y268" s="261" t="s">
        <v>792</v>
      </c>
      <c r="Z268" s="261" t="s">
        <v>792</v>
      </c>
      <c r="AA268" s="261" t="s">
        <v>792</v>
      </c>
      <c r="AB268" s="261" t="s">
        <v>792</v>
      </c>
      <c r="AC268" s="261" t="s">
        <v>792</v>
      </c>
      <c r="AD268" s="261" t="s">
        <v>792</v>
      </c>
      <c r="AE268" s="261" t="s">
        <v>792</v>
      </c>
      <c r="AF268" s="261" t="s">
        <v>792</v>
      </c>
      <c r="AG268" s="261" t="s">
        <v>792</v>
      </c>
      <c r="AH268" s="261" t="s">
        <v>792</v>
      </c>
      <c r="AI268" s="261" t="s">
        <v>792</v>
      </c>
      <c r="AJ268" s="261" t="s">
        <v>792</v>
      </c>
      <c r="AK268" s="261" t="s">
        <v>792</v>
      </c>
      <c r="AL268" s="261" t="s">
        <v>792</v>
      </c>
      <c r="AM268" s="261" t="s">
        <v>792</v>
      </c>
      <c r="AN268" s="261" t="s">
        <v>792</v>
      </c>
      <c r="AO268" s="261" t="s">
        <v>792</v>
      </c>
      <c r="AP268" s="261" t="s">
        <v>792</v>
      </c>
      <c r="AQ268" s="261" t="s">
        <v>792</v>
      </c>
      <c r="AR268" s="261" t="s">
        <v>792</v>
      </c>
      <c r="AS268" s="261" t="s">
        <v>792</v>
      </c>
      <c r="AT268" s="261" t="s">
        <v>792</v>
      </c>
      <c r="AU268" s="261" t="s">
        <v>792</v>
      </c>
      <c r="AV268" s="261" t="s">
        <v>792</v>
      </c>
      <c r="AW268" s="261" t="s">
        <v>792</v>
      </c>
      <c r="AX268" s="261" t="s">
        <v>792</v>
      </c>
      <c r="AY268" s="261" t="s">
        <v>792</v>
      </c>
      <c r="AZ268" s="261" t="s">
        <v>792</v>
      </c>
      <c r="BA268" s="261" t="s">
        <v>792</v>
      </c>
      <c r="BB268" s="261" t="s">
        <v>792</v>
      </c>
      <c r="BC268" s="261" t="s">
        <v>792</v>
      </c>
      <c r="BD268" s="261" t="s">
        <v>792</v>
      </c>
      <c r="BE268" s="261" t="s">
        <v>792</v>
      </c>
      <c r="BF268" s="261" t="s">
        <v>792</v>
      </c>
    </row>
    <row r="269" spans="1:58" x14ac:dyDescent="0.3">
      <c r="A269" s="260" t="s">
        <v>1023</v>
      </c>
      <c r="B269" s="262">
        <v>8019</v>
      </c>
      <c r="C269" s="262">
        <v>2010</v>
      </c>
      <c r="D269" s="262">
        <v>4789</v>
      </c>
      <c r="E269" s="262">
        <v>1950</v>
      </c>
      <c r="F269" s="261" t="s">
        <v>792</v>
      </c>
      <c r="G269" s="261" t="s">
        <v>792</v>
      </c>
      <c r="H269" s="261" t="s">
        <v>792</v>
      </c>
      <c r="I269" s="261" t="s">
        <v>792</v>
      </c>
      <c r="J269" s="261" t="s">
        <v>792</v>
      </c>
      <c r="K269" s="261" t="s">
        <v>792</v>
      </c>
      <c r="L269" s="261" t="s">
        <v>792</v>
      </c>
      <c r="M269" s="261" t="s">
        <v>792</v>
      </c>
      <c r="N269" s="261" t="s">
        <v>792</v>
      </c>
      <c r="O269" s="261" t="s">
        <v>792</v>
      </c>
      <c r="P269" s="261" t="s">
        <v>792</v>
      </c>
      <c r="Q269" s="261" t="s">
        <v>792</v>
      </c>
      <c r="R269" s="261" t="s">
        <v>792</v>
      </c>
      <c r="S269" s="261" t="s">
        <v>792</v>
      </c>
      <c r="T269" s="261" t="s">
        <v>792</v>
      </c>
      <c r="U269" s="261" t="s">
        <v>792</v>
      </c>
      <c r="V269" s="261" t="s">
        <v>792</v>
      </c>
      <c r="W269" s="261" t="s">
        <v>792</v>
      </c>
      <c r="X269" s="261" t="s">
        <v>792</v>
      </c>
      <c r="Y269" s="261" t="s">
        <v>792</v>
      </c>
      <c r="Z269" s="261" t="s">
        <v>792</v>
      </c>
      <c r="AA269" s="261" t="s">
        <v>792</v>
      </c>
      <c r="AB269" s="261" t="s">
        <v>792</v>
      </c>
      <c r="AC269" s="261" t="s">
        <v>792</v>
      </c>
      <c r="AD269" s="261" t="s">
        <v>792</v>
      </c>
      <c r="AE269" s="261" t="s">
        <v>792</v>
      </c>
      <c r="AF269" s="261" t="s">
        <v>792</v>
      </c>
      <c r="AG269" s="261" t="s">
        <v>792</v>
      </c>
      <c r="AH269" s="261" t="s">
        <v>792</v>
      </c>
      <c r="AI269" s="261" t="s">
        <v>792</v>
      </c>
      <c r="AJ269" s="261" t="s">
        <v>792</v>
      </c>
      <c r="AK269" s="261" t="s">
        <v>792</v>
      </c>
      <c r="AL269" s="261" t="s">
        <v>792</v>
      </c>
      <c r="AM269" s="261" t="s">
        <v>792</v>
      </c>
      <c r="AN269" s="261" t="s">
        <v>792</v>
      </c>
      <c r="AO269" s="261" t="s">
        <v>792</v>
      </c>
      <c r="AP269" s="261" t="s">
        <v>792</v>
      </c>
      <c r="AQ269" s="261" t="s">
        <v>792</v>
      </c>
      <c r="AR269" s="261" t="s">
        <v>792</v>
      </c>
      <c r="AS269" s="261" t="s">
        <v>792</v>
      </c>
      <c r="AT269" s="261" t="s">
        <v>792</v>
      </c>
      <c r="AU269" s="261" t="s">
        <v>792</v>
      </c>
      <c r="AV269" s="261" t="s">
        <v>792</v>
      </c>
      <c r="AW269" s="261" t="s">
        <v>792</v>
      </c>
      <c r="AX269" s="261" t="s">
        <v>792</v>
      </c>
      <c r="AY269" s="261" t="s">
        <v>792</v>
      </c>
      <c r="AZ269" s="261" t="s">
        <v>792</v>
      </c>
      <c r="BA269" s="261" t="s">
        <v>792</v>
      </c>
      <c r="BB269" s="261" t="s">
        <v>792</v>
      </c>
      <c r="BC269" s="261" t="s">
        <v>792</v>
      </c>
      <c r="BD269" s="261" t="s">
        <v>792</v>
      </c>
      <c r="BE269" s="261" t="s">
        <v>792</v>
      </c>
      <c r="BF269" s="261" t="s">
        <v>792</v>
      </c>
    </row>
    <row r="270" spans="1:58" x14ac:dyDescent="0.3">
      <c r="A270" s="263" t="s">
        <v>802</v>
      </c>
      <c r="B270" s="259">
        <v>8019</v>
      </c>
      <c r="C270" s="259">
        <v>2010</v>
      </c>
      <c r="D270" s="259">
        <v>4789</v>
      </c>
      <c r="E270" s="259">
        <v>1950</v>
      </c>
      <c r="F270" s="264" t="s">
        <v>792</v>
      </c>
      <c r="G270" s="264" t="s">
        <v>792</v>
      </c>
      <c r="H270" s="264" t="s">
        <v>792</v>
      </c>
      <c r="I270" s="264" t="s">
        <v>792</v>
      </c>
      <c r="J270" s="264" t="s">
        <v>792</v>
      </c>
      <c r="K270" s="264" t="s">
        <v>792</v>
      </c>
      <c r="L270" s="264" t="s">
        <v>792</v>
      </c>
      <c r="M270" s="264" t="s">
        <v>792</v>
      </c>
      <c r="N270" s="264" t="s">
        <v>792</v>
      </c>
      <c r="O270" s="264" t="s">
        <v>792</v>
      </c>
      <c r="P270" s="264" t="s">
        <v>792</v>
      </c>
      <c r="Q270" s="264" t="s">
        <v>792</v>
      </c>
      <c r="R270" s="264" t="s">
        <v>792</v>
      </c>
      <c r="S270" s="259">
        <v>0</v>
      </c>
      <c r="T270" s="264" t="s">
        <v>792</v>
      </c>
      <c r="U270" s="259">
        <v>0</v>
      </c>
      <c r="V270" s="264" t="s">
        <v>792</v>
      </c>
      <c r="W270" s="259">
        <v>1764</v>
      </c>
      <c r="X270" s="259">
        <v>3697</v>
      </c>
      <c r="Y270" s="259">
        <v>86044</v>
      </c>
      <c r="Z270" s="259">
        <v>244499</v>
      </c>
      <c r="AA270" s="259">
        <v>123308</v>
      </c>
      <c r="AB270" s="259">
        <v>83690</v>
      </c>
      <c r="AC270" s="259">
        <v>110525</v>
      </c>
      <c r="AD270" s="259">
        <v>30680</v>
      </c>
      <c r="AE270" s="259">
        <v>40937</v>
      </c>
      <c r="AF270" s="259">
        <v>79173</v>
      </c>
      <c r="AG270" s="259">
        <v>51576</v>
      </c>
      <c r="AH270" s="259">
        <v>62046</v>
      </c>
      <c r="AI270" s="259">
        <v>63713</v>
      </c>
      <c r="AJ270" s="259">
        <v>88073</v>
      </c>
      <c r="AK270" s="259">
        <v>37097</v>
      </c>
      <c r="AL270" s="259">
        <v>34932</v>
      </c>
      <c r="AM270" s="259">
        <v>18452</v>
      </c>
      <c r="AN270" s="259">
        <v>36023</v>
      </c>
      <c r="AO270" s="259">
        <v>86047</v>
      </c>
      <c r="AP270" s="259">
        <v>374598</v>
      </c>
      <c r="AQ270" s="259">
        <v>213830</v>
      </c>
      <c r="AR270" s="259">
        <v>210437</v>
      </c>
      <c r="AS270" s="259">
        <v>197907</v>
      </c>
      <c r="AT270" s="259">
        <v>386165</v>
      </c>
      <c r="AU270" s="259">
        <v>22568</v>
      </c>
      <c r="AV270" s="259">
        <v>329548</v>
      </c>
      <c r="AW270" s="259">
        <v>291783</v>
      </c>
      <c r="AX270" s="259">
        <v>915033</v>
      </c>
      <c r="AY270" s="259">
        <v>845187</v>
      </c>
      <c r="AZ270" s="259">
        <v>888980</v>
      </c>
      <c r="BA270" s="259">
        <v>1079329</v>
      </c>
      <c r="BB270" s="259">
        <v>166304</v>
      </c>
      <c r="BC270" s="259">
        <v>2230118</v>
      </c>
      <c r="BD270" s="259">
        <v>1357896</v>
      </c>
      <c r="BE270" s="259">
        <v>1613769</v>
      </c>
      <c r="BF270" s="259">
        <v>1743491</v>
      </c>
    </row>
    <row r="271" spans="1:58" x14ac:dyDescent="0.3">
      <c r="A271" s="263" t="s">
        <v>1024</v>
      </c>
      <c r="B271" s="259">
        <v>0</v>
      </c>
      <c r="C271" s="259">
        <v>0</v>
      </c>
      <c r="D271" s="259">
        <v>0</v>
      </c>
      <c r="E271" s="259">
        <v>0</v>
      </c>
      <c r="F271" s="264" t="s">
        <v>792</v>
      </c>
      <c r="G271" s="264" t="s">
        <v>792</v>
      </c>
      <c r="H271" s="264" t="s">
        <v>792</v>
      </c>
      <c r="I271" s="264" t="s">
        <v>792</v>
      </c>
      <c r="J271" s="264" t="s">
        <v>792</v>
      </c>
      <c r="K271" s="264" t="s">
        <v>792</v>
      </c>
      <c r="L271" s="264" t="s">
        <v>792</v>
      </c>
      <c r="M271" s="264" t="s">
        <v>792</v>
      </c>
      <c r="N271" s="264" t="s">
        <v>792</v>
      </c>
      <c r="O271" s="264" t="s">
        <v>792</v>
      </c>
      <c r="P271" s="264" t="s">
        <v>792</v>
      </c>
      <c r="Q271" s="264" t="s">
        <v>792</v>
      </c>
      <c r="R271" s="264" t="s">
        <v>792</v>
      </c>
      <c r="S271" s="264" t="s">
        <v>792</v>
      </c>
      <c r="T271" s="264" t="s">
        <v>792</v>
      </c>
      <c r="U271" s="264" t="s">
        <v>792</v>
      </c>
      <c r="V271" s="264" t="s">
        <v>792</v>
      </c>
      <c r="W271" s="264" t="s">
        <v>792</v>
      </c>
      <c r="X271" s="264" t="s">
        <v>792</v>
      </c>
      <c r="Y271" s="264" t="s">
        <v>792</v>
      </c>
      <c r="Z271" s="264" t="s">
        <v>792</v>
      </c>
      <c r="AA271" s="264" t="s">
        <v>792</v>
      </c>
      <c r="AB271" s="264" t="s">
        <v>792</v>
      </c>
      <c r="AC271" s="264" t="s">
        <v>792</v>
      </c>
      <c r="AD271" s="264" t="s">
        <v>792</v>
      </c>
      <c r="AE271" s="264" t="s">
        <v>792</v>
      </c>
      <c r="AF271" s="264" t="s">
        <v>792</v>
      </c>
      <c r="AG271" s="264" t="s">
        <v>792</v>
      </c>
      <c r="AH271" s="264" t="s">
        <v>792</v>
      </c>
      <c r="AI271" s="264" t="s">
        <v>792</v>
      </c>
      <c r="AJ271" s="264" t="s">
        <v>792</v>
      </c>
      <c r="AK271" s="264" t="s">
        <v>792</v>
      </c>
      <c r="AL271" s="264" t="s">
        <v>792</v>
      </c>
      <c r="AM271" s="264" t="s">
        <v>792</v>
      </c>
      <c r="AN271" s="264" t="s">
        <v>792</v>
      </c>
      <c r="AO271" s="264" t="s">
        <v>792</v>
      </c>
      <c r="AP271" s="264" t="s">
        <v>792</v>
      </c>
      <c r="AQ271" s="264" t="s">
        <v>792</v>
      </c>
      <c r="AR271" s="264" t="s">
        <v>792</v>
      </c>
      <c r="AS271" s="264" t="s">
        <v>792</v>
      </c>
      <c r="AT271" s="264" t="s">
        <v>792</v>
      </c>
      <c r="AU271" s="264" t="s">
        <v>792</v>
      </c>
      <c r="AV271" s="264" t="s">
        <v>792</v>
      </c>
      <c r="AW271" s="264" t="s">
        <v>792</v>
      </c>
      <c r="AX271" s="264" t="s">
        <v>792</v>
      </c>
      <c r="AY271" s="264" t="s">
        <v>792</v>
      </c>
      <c r="AZ271" s="264" t="s">
        <v>792</v>
      </c>
      <c r="BA271" s="264" t="s">
        <v>792</v>
      </c>
      <c r="BB271" s="264" t="s">
        <v>792</v>
      </c>
      <c r="BC271" s="264" t="s">
        <v>792</v>
      </c>
      <c r="BD271" s="264" t="s">
        <v>792</v>
      </c>
      <c r="BE271" s="264" t="s">
        <v>792</v>
      </c>
      <c r="BF271" s="264" t="s">
        <v>792</v>
      </c>
    </row>
    <row r="272" spans="1:58" x14ac:dyDescent="0.3">
      <c r="A272" s="265" t="s">
        <v>1025</v>
      </c>
      <c r="B272" s="257">
        <v>0</v>
      </c>
      <c r="C272" s="257">
        <v>0</v>
      </c>
      <c r="D272" s="257">
        <v>0</v>
      </c>
      <c r="E272" s="257">
        <v>0</v>
      </c>
      <c r="F272" s="256" t="s">
        <v>792</v>
      </c>
      <c r="G272" s="256" t="s">
        <v>792</v>
      </c>
      <c r="H272" s="256" t="s">
        <v>792</v>
      </c>
      <c r="I272" s="256" t="s">
        <v>792</v>
      </c>
      <c r="J272" s="256" t="s">
        <v>792</v>
      </c>
      <c r="K272" s="256" t="s">
        <v>792</v>
      </c>
      <c r="L272" s="256" t="s">
        <v>792</v>
      </c>
      <c r="M272" s="256" t="s">
        <v>792</v>
      </c>
      <c r="N272" s="256" t="s">
        <v>792</v>
      </c>
      <c r="O272" s="256" t="s">
        <v>792</v>
      </c>
      <c r="P272" s="256" t="s">
        <v>792</v>
      </c>
      <c r="Q272" s="256" t="s">
        <v>792</v>
      </c>
      <c r="R272" s="256" t="s">
        <v>792</v>
      </c>
      <c r="S272" s="256" t="s">
        <v>792</v>
      </c>
      <c r="T272" s="256" t="s">
        <v>792</v>
      </c>
      <c r="U272" s="256" t="s">
        <v>792</v>
      </c>
      <c r="V272" s="256" t="s">
        <v>792</v>
      </c>
      <c r="W272" s="256" t="s">
        <v>792</v>
      </c>
      <c r="X272" s="256" t="s">
        <v>792</v>
      </c>
      <c r="Y272" s="256" t="s">
        <v>792</v>
      </c>
      <c r="Z272" s="256" t="s">
        <v>792</v>
      </c>
      <c r="AA272" s="256" t="s">
        <v>792</v>
      </c>
      <c r="AB272" s="256" t="s">
        <v>792</v>
      </c>
      <c r="AC272" s="256" t="s">
        <v>792</v>
      </c>
      <c r="AD272" s="256" t="s">
        <v>792</v>
      </c>
      <c r="AE272" s="256" t="s">
        <v>792</v>
      </c>
      <c r="AF272" s="256" t="s">
        <v>792</v>
      </c>
      <c r="AG272" s="256" t="s">
        <v>792</v>
      </c>
      <c r="AH272" s="256" t="s">
        <v>792</v>
      </c>
      <c r="AI272" s="256" t="s">
        <v>792</v>
      </c>
      <c r="AJ272" s="256" t="s">
        <v>792</v>
      </c>
      <c r="AK272" s="256" t="s">
        <v>792</v>
      </c>
      <c r="AL272" s="256" t="s">
        <v>792</v>
      </c>
      <c r="AM272" s="256" t="s">
        <v>792</v>
      </c>
      <c r="AN272" s="256" t="s">
        <v>792</v>
      </c>
      <c r="AO272" s="256" t="s">
        <v>792</v>
      </c>
      <c r="AP272" s="256" t="s">
        <v>792</v>
      </c>
      <c r="AQ272" s="256" t="s">
        <v>792</v>
      </c>
      <c r="AR272" s="256" t="s">
        <v>792</v>
      </c>
      <c r="AS272" s="256" t="s">
        <v>792</v>
      </c>
      <c r="AT272" s="256" t="s">
        <v>792</v>
      </c>
      <c r="AU272" s="256" t="s">
        <v>792</v>
      </c>
      <c r="AV272" s="256" t="s">
        <v>792</v>
      </c>
      <c r="AW272" s="256" t="s">
        <v>792</v>
      </c>
      <c r="AX272" s="256" t="s">
        <v>792</v>
      </c>
      <c r="AY272" s="256" t="s">
        <v>792</v>
      </c>
      <c r="AZ272" s="256" t="s">
        <v>792</v>
      </c>
      <c r="BA272" s="256" t="s">
        <v>792</v>
      </c>
      <c r="BB272" s="256" t="s">
        <v>792</v>
      </c>
      <c r="BC272" s="256" t="s">
        <v>792</v>
      </c>
      <c r="BD272" s="256" t="s">
        <v>792</v>
      </c>
      <c r="BE272" s="256" t="s">
        <v>792</v>
      </c>
      <c r="BF272" s="256" t="s">
        <v>792</v>
      </c>
    </row>
    <row r="273" spans="1:58" x14ac:dyDescent="0.3">
      <c r="A273" s="265" t="s">
        <v>1026</v>
      </c>
      <c r="B273" s="257">
        <v>0</v>
      </c>
      <c r="C273" s="257">
        <v>0</v>
      </c>
      <c r="D273" s="257">
        <v>0</v>
      </c>
      <c r="E273" s="257">
        <v>0</v>
      </c>
      <c r="F273" s="256" t="s">
        <v>792</v>
      </c>
      <c r="G273" s="256" t="s">
        <v>792</v>
      </c>
      <c r="H273" s="256" t="s">
        <v>792</v>
      </c>
      <c r="I273" s="256" t="s">
        <v>792</v>
      </c>
      <c r="J273" s="256" t="s">
        <v>792</v>
      </c>
      <c r="K273" s="256" t="s">
        <v>792</v>
      </c>
      <c r="L273" s="256" t="s">
        <v>792</v>
      </c>
      <c r="M273" s="256" t="s">
        <v>792</v>
      </c>
      <c r="N273" s="256" t="s">
        <v>792</v>
      </c>
      <c r="O273" s="256" t="s">
        <v>792</v>
      </c>
      <c r="P273" s="256" t="s">
        <v>792</v>
      </c>
      <c r="Q273" s="256" t="s">
        <v>792</v>
      </c>
      <c r="R273" s="256" t="s">
        <v>792</v>
      </c>
      <c r="S273" s="256" t="s">
        <v>792</v>
      </c>
      <c r="T273" s="256" t="s">
        <v>792</v>
      </c>
      <c r="U273" s="256" t="s">
        <v>792</v>
      </c>
      <c r="V273" s="256" t="s">
        <v>792</v>
      </c>
      <c r="W273" s="256" t="s">
        <v>792</v>
      </c>
      <c r="X273" s="256" t="s">
        <v>792</v>
      </c>
      <c r="Y273" s="256" t="s">
        <v>792</v>
      </c>
      <c r="Z273" s="256" t="s">
        <v>792</v>
      </c>
      <c r="AA273" s="256" t="s">
        <v>792</v>
      </c>
      <c r="AB273" s="256" t="s">
        <v>792</v>
      </c>
      <c r="AC273" s="256" t="s">
        <v>792</v>
      </c>
      <c r="AD273" s="256" t="s">
        <v>792</v>
      </c>
      <c r="AE273" s="256" t="s">
        <v>792</v>
      </c>
      <c r="AF273" s="256" t="s">
        <v>792</v>
      </c>
      <c r="AG273" s="256" t="s">
        <v>792</v>
      </c>
      <c r="AH273" s="256" t="s">
        <v>792</v>
      </c>
      <c r="AI273" s="256" t="s">
        <v>792</v>
      </c>
      <c r="AJ273" s="256" t="s">
        <v>792</v>
      </c>
      <c r="AK273" s="256" t="s">
        <v>792</v>
      </c>
      <c r="AL273" s="256" t="s">
        <v>792</v>
      </c>
      <c r="AM273" s="256" t="s">
        <v>792</v>
      </c>
      <c r="AN273" s="256" t="s">
        <v>792</v>
      </c>
      <c r="AO273" s="256" t="s">
        <v>792</v>
      </c>
      <c r="AP273" s="256" t="s">
        <v>792</v>
      </c>
      <c r="AQ273" s="256" t="s">
        <v>792</v>
      </c>
      <c r="AR273" s="256" t="s">
        <v>792</v>
      </c>
      <c r="AS273" s="256" t="s">
        <v>792</v>
      </c>
      <c r="AT273" s="256" t="s">
        <v>792</v>
      </c>
      <c r="AU273" s="256" t="s">
        <v>792</v>
      </c>
      <c r="AV273" s="256" t="s">
        <v>792</v>
      </c>
      <c r="AW273" s="256" t="s">
        <v>792</v>
      </c>
      <c r="AX273" s="256" t="s">
        <v>792</v>
      </c>
      <c r="AY273" s="256" t="s">
        <v>792</v>
      </c>
      <c r="AZ273" s="256" t="s">
        <v>792</v>
      </c>
      <c r="BA273" s="256" t="s">
        <v>792</v>
      </c>
      <c r="BB273" s="256" t="s">
        <v>792</v>
      </c>
      <c r="BC273" s="256" t="s">
        <v>792</v>
      </c>
      <c r="BD273" s="256" t="s">
        <v>792</v>
      </c>
      <c r="BE273" s="256" t="s">
        <v>792</v>
      </c>
      <c r="BF273" s="256" t="s">
        <v>792</v>
      </c>
    </row>
    <row r="274" spans="1:58" x14ac:dyDescent="0.3">
      <c r="A274" s="260" t="s">
        <v>804</v>
      </c>
      <c r="B274" s="262">
        <v>0</v>
      </c>
      <c r="C274" s="262">
        <v>0</v>
      </c>
      <c r="D274" s="262">
        <v>0</v>
      </c>
      <c r="E274" s="262">
        <v>0</v>
      </c>
      <c r="F274" s="262">
        <v>0</v>
      </c>
      <c r="G274" s="262">
        <v>0</v>
      </c>
      <c r="H274" s="262">
        <v>0</v>
      </c>
      <c r="I274" s="262">
        <v>0</v>
      </c>
      <c r="J274" s="262">
        <v>0</v>
      </c>
      <c r="K274" s="262">
        <v>0</v>
      </c>
      <c r="L274" s="262">
        <v>0</v>
      </c>
      <c r="M274" s="262">
        <v>0</v>
      </c>
      <c r="N274" s="262">
        <v>0</v>
      </c>
      <c r="O274" s="262">
        <v>0</v>
      </c>
      <c r="P274" s="262">
        <v>0</v>
      </c>
      <c r="Q274" s="262">
        <v>0</v>
      </c>
      <c r="R274" s="262">
        <v>0</v>
      </c>
      <c r="S274" s="262">
        <v>25856</v>
      </c>
      <c r="T274" s="262">
        <v>0</v>
      </c>
      <c r="U274" s="262">
        <v>0</v>
      </c>
      <c r="V274" s="262">
        <v>8784</v>
      </c>
      <c r="W274" s="262">
        <v>82347</v>
      </c>
      <c r="X274" s="262">
        <v>63188</v>
      </c>
      <c r="Y274" s="262">
        <v>9269</v>
      </c>
      <c r="Z274" s="262">
        <v>25279</v>
      </c>
      <c r="AA274" s="262">
        <v>65364</v>
      </c>
      <c r="AB274" s="262">
        <v>75590</v>
      </c>
      <c r="AC274" s="262">
        <v>33108</v>
      </c>
      <c r="AD274" s="262">
        <v>33192</v>
      </c>
      <c r="AE274" s="262">
        <v>63324</v>
      </c>
      <c r="AF274" s="262">
        <v>42373</v>
      </c>
      <c r="AG274" s="262">
        <v>56985</v>
      </c>
      <c r="AH274" s="262">
        <v>41174</v>
      </c>
      <c r="AI274" s="262">
        <v>60054</v>
      </c>
      <c r="AJ274" s="262">
        <v>47596</v>
      </c>
      <c r="AK274" s="262">
        <v>81815</v>
      </c>
      <c r="AL274" s="262">
        <v>58786</v>
      </c>
      <c r="AM274" s="262">
        <v>176505</v>
      </c>
      <c r="AN274" s="262">
        <v>93641</v>
      </c>
      <c r="AO274" s="262">
        <v>128588</v>
      </c>
      <c r="AP274" s="262">
        <v>125474</v>
      </c>
      <c r="AQ274" s="262">
        <v>158642</v>
      </c>
      <c r="AR274" s="262">
        <v>249998</v>
      </c>
      <c r="AS274" s="262">
        <v>332471</v>
      </c>
      <c r="AT274" s="262">
        <v>194666</v>
      </c>
      <c r="AU274" s="262">
        <v>395781</v>
      </c>
      <c r="AV274" s="262">
        <v>382438</v>
      </c>
      <c r="AW274" s="262">
        <v>384679</v>
      </c>
      <c r="AX274" s="262">
        <v>217536</v>
      </c>
      <c r="AY274" s="262">
        <v>281174</v>
      </c>
      <c r="AZ274" s="262">
        <v>275693</v>
      </c>
      <c r="BA274" s="262">
        <v>338514</v>
      </c>
      <c r="BB274" s="262">
        <v>0</v>
      </c>
      <c r="BC274" s="262">
        <v>0</v>
      </c>
      <c r="BD274" s="262">
        <v>729200</v>
      </c>
      <c r="BE274" s="262">
        <v>662465</v>
      </c>
      <c r="BF274" s="262">
        <v>651651</v>
      </c>
    </row>
    <row r="275" spans="1:58" x14ac:dyDescent="0.3">
      <c r="A275" s="260" t="s">
        <v>1027</v>
      </c>
      <c r="B275" s="262">
        <v>3092</v>
      </c>
      <c r="C275" s="262">
        <v>8417</v>
      </c>
      <c r="D275" s="262">
        <v>10104</v>
      </c>
      <c r="E275" s="262">
        <v>15744</v>
      </c>
      <c r="F275" s="261" t="s">
        <v>792</v>
      </c>
      <c r="G275" s="261" t="s">
        <v>792</v>
      </c>
      <c r="H275" s="261" t="s">
        <v>792</v>
      </c>
      <c r="I275" s="261" t="s">
        <v>792</v>
      </c>
      <c r="J275" s="261" t="s">
        <v>792</v>
      </c>
      <c r="K275" s="261" t="s">
        <v>792</v>
      </c>
      <c r="L275" s="261" t="s">
        <v>792</v>
      </c>
      <c r="M275" s="261" t="s">
        <v>792</v>
      </c>
      <c r="N275" s="261" t="s">
        <v>792</v>
      </c>
      <c r="O275" s="261" t="s">
        <v>792</v>
      </c>
      <c r="P275" s="261" t="s">
        <v>792</v>
      </c>
      <c r="Q275" s="261" t="s">
        <v>792</v>
      </c>
      <c r="R275" s="261" t="s">
        <v>792</v>
      </c>
      <c r="S275" s="261" t="s">
        <v>792</v>
      </c>
      <c r="T275" s="261" t="s">
        <v>792</v>
      </c>
      <c r="U275" s="261" t="s">
        <v>792</v>
      </c>
      <c r="V275" s="261" t="s">
        <v>792</v>
      </c>
      <c r="W275" s="261" t="s">
        <v>792</v>
      </c>
      <c r="X275" s="261" t="s">
        <v>792</v>
      </c>
      <c r="Y275" s="261" t="s">
        <v>792</v>
      </c>
      <c r="Z275" s="261" t="s">
        <v>792</v>
      </c>
      <c r="AA275" s="261" t="s">
        <v>792</v>
      </c>
      <c r="AB275" s="261" t="s">
        <v>792</v>
      </c>
      <c r="AC275" s="261" t="s">
        <v>792</v>
      </c>
      <c r="AD275" s="261" t="s">
        <v>792</v>
      </c>
      <c r="AE275" s="261" t="s">
        <v>792</v>
      </c>
      <c r="AF275" s="261" t="s">
        <v>792</v>
      </c>
      <c r="AG275" s="261" t="s">
        <v>792</v>
      </c>
      <c r="AH275" s="261" t="s">
        <v>792</v>
      </c>
      <c r="AI275" s="261" t="s">
        <v>792</v>
      </c>
      <c r="AJ275" s="261" t="s">
        <v>792</v>
      </c>
      <c r="AK275" s="261" t="s">
        <v>792</v>
      </c>
      <c r="AL275" s="261" t="s">
        <v>792</v>
      </c>
      <c r="AM275" s="261" t="s">
        <v>792</v>
      </c>
      <c r="AN275" s="261" t="s">
        <v>792</v>
      </c>
      <c r="AO275" s="261" t="s">
        <v>792</v>
      </c>
      <c r="AP275" s="261" t="s">
        <v>792</v>
      </c>
      <c r="AQ275" s="261" t="s">
        <v>792</v>
      </c>
      <c r="AR275" s="261" t="s">
        <v>792</v>
      </c>
      <c r="AS275" s="261" t="s">
        <v>792</v>
      </c>
      <c r="AT275" s="261" t="s">
        <v>792</v>
      </c>
      <c r="AU275" s="261" t="s">
        <v>792</v>
      </c>
      <c r="AV275" s="261" t="s">
        <v>792</v>
      </c>
      <c r="AW275" s="261" t="s">
        <v>792</v>
      </c>
      <c r="AX275" s="261" t="s">
        <v>792</v>
      </c>
      <c r="AY275" s="261" t="s">
        <v>792</v>
      </c>
      <c r="AZ275" s="261" t="s">
        <v>792</v>
      </c>
      <c r="BA275" s="261" t="s">
        <v>792</v>
      </c>
      <c r="BB275" s="261" t="s">
        <v>792</v>
      </c>
      <c r="BC275" s="261" t="s">
        <v>792</v>
      </c>
      <c r="BD275" s="261" t="s">
        <v>792</v>
      </c>
      <c r="BE275" s="261" t="s">
        <v>792</v>
      </c>
      <c r="BF275" s="261" t="s">
        <v>792</v>
      </c>
    </row>
    <row r="276" spans="1:58" x14ac:dyDescent="0.3">
      <c r="A276" s="258" t="s">
        <v>813</v>
      </c>
      <c r="B276" s="259">
        <v>61991</v>
      </c>
      <c r="C276" s="259">
        <v>90884</v>
      </c>
      <c r="D276" s="259">
        <v>155915</v>
      </c>
      <c r="E276" s="259">
        <v>225543</v>
      </c>
      <c r="F276" s="259">
        <v>249508</v>
      </c>
      <c r="G276" s="259">
        <v>391116</v>
      </c>
      <c r="H276" s="259">
        <v>3399780</v>
      </c>
      <c r="I276" s="259">
        <v>2278421</v>
      </c>
      <c r="J276" s="259">
        <v>2536506</v>
      </c>
      <c r="K276" s="259">
        <v>3778176</v>
      </c>
      <c r="L276" s="259">
        <v>2916894</v>
      </c>
      <c r="M276" s="259">
        <v>3004031</v>
      </c>
      <c r="N276" s="259">
        <v>3273538</v>
      </c>
      <c r="O276" s="259">
        <v>3272708</v>
      </c>
      <c r="P276" s="259">
        <v>3531223</v>
      </c>
      <c r="Q276" s="259">
        <v>2696792</v>
      </c>
      <c r="R276" s="259">
        <v>1132029</v>
      </c>
      <c r="S276" s="259">
        <v>1340864</v>
      </c>
      <c r="T276" s="259">
        <v>1274652</v>
      </c>
      <c r="U276" s="259">
        <v>1286526</v>
      </c>
      <c r="V276" s="259">
        <v>254902</v>
      </c>
      <c r="W276" s="259">
        <v>319953</v>
      </c>
      <c r="X276" s="259">
        <v>294062</v>
      </c>
      <c r="Y276" s="259">
        <v>342658</v>
      </c>
      <c r="Z276" s="259">
        <v>277215</v>
      </c>
      <c r="AA276" s="259">
        <v>276451</v>
      </c>
      <c r="AB276" s="259">
        <v>282336</v>
      </c>
      <c r="AC276" s="259">
        <v>302835</v>
      </c>
      <c r="AD276" s="259">
        <v>300789</v>
      </c>
      <c r="AE276" s="259">
        <v>472764</v>
      </c>
      <c r="AF276" s="259">
        <v>467629</v>
      </c>
      <c r="AG276" s="259">
        <v>455903</v>
      </c>
      <c r="AH276" s="259">
        <v>402109</v>
      </c>
      <c r="AI276" s="259">
        <v>421278</v>
      </c>
      <c r="AJ276" s="259">
        <v>474515</v>
      </c>
      <c r="AK276" s="259">
        <v>485459</v>
      </c>
      <c r="AL276" s="259">
        <v>497501</v>
      </c>
      <c r="AM276" s="259">
        <v>3657302</v>
      </c>
      <c r="AN276" s="259">
        <v>3386223</v>
      </c>
      <c r="AO276" s="259">
        <v>3457010</v>
      </c>
      <c r="AP276" s="259">
        <v>3976661</v>
      </c>
      <c r="AQ276" s="259">
        <v>5252119</v>
      </c>
      <c r="AR276" s="259">
        <v>5260513</v>
      </c>
      <c r="AS276" s="259">
        <v>5404998</v>
      </c>
      <c r="AT276" s="259">
        <v>4951418</v>
      </c>
      <c r="AU276" s="259">
        <v>5244461</v>
      </c>
      <c r="AV276" s="259">
        <v>4987285</v>
      </c>
      <c r="AW276" s="259">
        <v>5981504</v>
      </c>
      <c r="AX276" s="259">
        <v>6115121</v>
      </c>
      <c r="AY276" s="259">
        <v>6057511</v>
      </c>
      <c r="AZ276" s="259">
        <v>8317151</v>
      </c>
      <c r="BA276" s="259">
        <v>8797869</v>
      </c>
      <c r="BB276" s="259">
        <v>9699893</v>
      </c>
      <c r="BC276" s="259">
        <v>21738792</v>
      </c>
      <c r="BD276" s="259">
        <v>22327929</v>
      </c>
      <c r="BE276" s="259">
        <v>23435149</v>
      </c>
      <c r="BF276" s="259">
        <v>23016058</v>
      </c>
    </row>
    <row r="277" spans="1:58" x14ac:dyDescent="0.3">
      <c r="A277" s="260" t="s">
        <v>814</v>
      </c>
      <c r="B277" s="262">
        <v>4556</v>
      </c>
      <c r="C277" s="262">
        <v>27122</v>
      </c>
      <c r="D277" s="262">
        <v>35678</v>
      </c>
      <c r="E277" s="262">
        <v>36574</v>
      </c>
      <c r="F277" s="262">
        <v>37494</v>
      </c>
      <c r="G277" s="262">
        <v>38466</v>
      </c>
      <c r="H277" s="262">
        <v>1328191</v>
      </c>
      <c r="I277" s="262">
        <v>436</v>
      </c>
      <c r="J277" s="262">
        <v>22396</v>
      </c>
      <c r="K277" s="262">
        <v>1115284</v>
      </c>
      <c r="L277" s="262">
        <v>83039</v>
      </c>
      <c r="M277" s="262">
        <v>83314</v>
      </c>
      <c r="N277" s="262">
        <v>156265</v>
      </c>
      <c r="O277" s="262">
        <v>151983</v>
      </c>
      <c r="P277" s="262">
        <v>457803</v>
      </c>
      <c r="Q277" s="262">
        <v>461313</v>
      </c>
      <c r="R277" s="262">
        <v>4590</v>
      </c>
      <c r="S277" s="262">
        <v>4724</v>
      </c>
      <c r="T277" s="262">
        <v>4813</v>
      </c>
      <c r="U277" s="262">
        <v>4978</v>
      </c>
      <c r="V277" s="262">
        <v>5026</v>
      </c>
      <c r="W277" s="262">
        <v>5096</v>
      </c>
      <c r="X277" s="262">
        <v>23430</v>
      </c>
      <c r="Y277" s="262">
        <v>33110</v>
      </c>
      <c r="Z277" s="262">
        <v>45500</v>
      </c>
      <c r="AA277" s="262">
        <v>45828</v>
      </c>
      <c r="AB277" s="262">
        <v>45687</v>
      </c>
      <c r="AC277" s="262">
        <v>54093</v>
      </c>
      <c r="AD277" s="262">
        <v>73972</v>
      </c>
      <c r="AE277" s="262">
        <v>90007</v>
      </c>
      <c r="AF277" s="262">
        <v>99829</v>
      </c>
      <c r="AG277" s="262">
        <v>110492</v>
      </c>
      <c r="AH277" s="262">
        <v>80275</v>
      </c>
      <c r="AI277" s="262">
        <v>101931</v>
      </c>
      <c r="AJ277" s="262">
        <v>104297</v>
      </c>
      <c r="AK277" s="262">
        <v>78617</v>
      </c>
      <c r="AL277" s="262">
        <v>66266</v>
      </c>
      <c r="AM277" s="262">
        <v>71989</v>
      </c>
      <c r="AN277" s="262">
        <v>107425</v>
      </c>
      <c r="AO277" s="262">
        <v>73002</v>
      </c>
      <c r="AP277" s="262">
        <v>232542</v>
      </c>
      <c r="AQ277" s="262">
        <v>236555</v>
      </c>
      <c r="AR277" s="262">
        <v>264472</v>
      </c>
      <c r="AS277" s="262">
        <v>230786</v>
      </c>
      <c r="AT277" s="262">
        <v>265703</v>
      </c>
      <c r="AU277" s="262">
        <v>319040</v>
      </c>
      <c r="AV277" s="262">
        <v>215592</v>
      </c>
      <c r="AW277" s="262">
        <v>238970</v>
      </c>
      <c r="AX277" s="262">
        <v>397883</v>
      </c>
      <c r="AY277" s="262">
        <v>700783</v>
      </c>
      <c r="AZ277" s="262">
        <v>721759</v>
      </c>
      <c r="BA277" s="262">
        <v>521786</v>
      </c>
      <c r="BB277" s="262">
        <v>729759</v>
      </c>
      <c r="BC277" s="262">
        <v>682821</v>
      </c>
      <c r="BD277" s="262">
        <v>891997</v>
      </c>
      <c r="BE277" s="262">
        <v>558122</v>
      </c>
      <c r="BF277" s="262">
        <v>631701</v>
      </c>
    </row>
    <row r="278" spans="1:58" x14ac:dyDescent="0.3">
      <c r="A278" s="263" t="s">
        <v>1028</v>
      </c>
      <c r="B278" s="259">
        <v>0</v>
      </c>
      <c r="C278" s="259">
        <v>22566</v>
      </c>
      <c r="D278" s="259">
        <v>35678</v>
      </c>
      <c r="E278" s="259">
        <v>36574</v>
      </c>
      <c r="F278" s="264" t="s">
        <v>792</v>
      </c>
      <c r="G278" s="264" t="s">
        <v>792</v>
      </c>
      <c r="H278" s="264" t="s">
        <v>792</v>
      </c>
      <c r="I278" s="264" t="s">
        <v>792</v>
      </c>
      <c r="J278" s="264" t="s">
        <v>792</v>
      </c>
      <c r="K278" s="264" t="s">
        <v>792</v>
      </c>
      <c r="L278" s="264" t="s">
        <v>792</v>
      </c>
      <c r="M278" s="264" t="s">
        <v>792</v>
      </c>
      <c r="N278" s="264" t="s">
        <v>792</v>
      </c>
      <c r="O278" s="264" t="s">
        <v>792</v>
      </c>
      <c r="P278" s="264" t="s">
        <v>792</v>
      </c>
      <c r="Q278" s="264" t="s">
        <v>792</v>
      </c>
      <c r="R278" s="264" t="s">
        <v>792</v>
      </c>
      <c r="S278" s="264" t="s">
        <v>792</v>
      </c>
      <c r="T278" s="264" t="s">
        <v>792</v>
      </c>
      <c r="U278" s="264" t="s">
        <v>792</v>
      </c>
      <c r="V278" s="264" t="s">
        <v>792</v>
      </c>
      <c r="W278" s="264" t="s">
        <v>792</v>
      </c>
      <c r="X278" s="264" t="s">
        <v>792</v>
      </c>
      <c r="Y278" s="264" t="s">
        <v>792</v>
      </c>
      <c r="Z278" s="264" t="s">
        <v>792</v>
      </c>
      <c r="AA278" s="264" t="s">
        <v>792</v>
      </c>
      <c r="AB278" s="264" t="s">
        <v>792</v>
      </c>
      <c r="AC278" s="264" t="s">
        <v>792</v>
      </c>
      <c r="AD278" s="264" t="s">
        <v>792</v>
      </c>
      <c r="AE278" s="264" t="s">
        <v>792</v>
      </c>
      <c r="AF278" s="264" t="s">
        <v>792</v>
      </c>
      <c r="AG278" s="264" t="s">
        <v>792</v>
      </c>
      <c r="AH278" s="264" t="s">
        <v>792</v>
      </c>
      <c r="AI278" s="264" t="s">
        <v>792</v>
      </c>
      <c r="AJ278" s="264" t="s">
        <v>792</v>
      </c>
      <c r="AK278" s="264" t="s">
        <v>792</v>
      </c>
      <c r="AL278" s="264" t="s">
        <v>792</v>
      </c>
      <c r="AM278" s="264" t="s">
        <v>792</v>
      </c>
      <c r="AN278" s="264" t="s">
        <v>792</v>
      </c>
      <c r="AO278" s="264" t="s">
        <v>792</v>
      </c>
      <c r="AP278" s="264" t="s">
        <v>792</v>
      </c>
      <c r="AQ278" s="264" t="s">
        <v>792</v>
      </c>
      <c r="AR278" s="264" t="s">
        <v>792</v>
      </c>
      <c r="AS278" s="264" t="s">
        <v>792</v>
      </c>
      <c r="AT278" s="264" t="s">
        <v>792</v>
      </c>
      <c r="AU278" s="264" t="s">
        <v>792</v>
      </c>
      <c r="AV278" s="264" t="s">
        <v>792</v>
      </c>
      <c r="AW278" s="264" t="s">
        <v>792</v>
      </c>
      <c r="AX278" s="264" t="s">
        <v>792</v>
      </c>
      <c r="AY278" s="264" t="s">
        <v>792</v>
      </c>
      <c r="AZ278" s="264" t="s">
        <v>792</v>
      </c>
      <c r="BA278" s="264" t="s">
        <v>792</v>
      </c>
      <c r="BB278" s="264" t="s">
        <v>792</v>
      </c>
      <c r="BC278" s="264" t="s">
        <v>792</v>
      </c>
      <c r="BD278" s="264" t="s">
        <v>792</v>
      </c>
      <c r="BE278" s="264" t="s">
        <v>792</v>
      </c>
      <c r="BF278" s="264" t="s">
        <v>792</v>
      </c>
    </row>
    <row r="279" spans="1:58" x14ac:dyDescent="0.3">
      <c r="A279" s="263" t="s">
        <v>1029</v>
      </c>
      <c r="B279" s="259">
        <v>4556</v>
      </c>
      <c r="C279" s="259">
        <v>4556</v>
      </c>
      <c r="D279" s="259">
        <v>0</v>
      </c>
      <c r="E279" s="259">
        <v>0</v>
      </c>
      <c r="F279" s="264" t="s">
        <v>792</v>
      </c>
      <c r="G279" s="264" t="s">
        <v>792</v>
      </c>
      <c r="H279" s="264" t="s">
        <v>792</v>
      </c>
      <c r="I279" s="264" t="s">
        <v>792</v>
      </c>
      <c r="J279" s="264" t="s">
        <v>792</v>
      </c>
      <c r="K279" s="264" t="s">
        <v>792</v>
      </c>
      <c r="L279" s="264" t="s">
        <v>792</v>
      </c>
      <c r="M279" s="264" t="s">
        <v>792</v>
      </c>
      <c r="N279" s="264" t="s">
        <v>792</v>
      </c>
      <c r="O279" s="264" t="s">
        <v>792</v>
      </c>
      <c r="P279" s="264" t="s">
        <v>792</v>
      </c>
      <c r="Q279" s="264" t="s">
        <v>792</v>
      </c>
      <c r="R279" s="264" t="s">
        <v>792</v>
      </c>
      <c r="S279" s="264" t="s">
        <v>792</v>
      </c>
      <c r="T279" s="264" t="s">
        <v>792</v>
      </c>
      <c r="U279" s="264" t="s">
        <v>792</v>
      </c>
      <c r="V279" s="264" t="s">
        <v>792</v>
      </c>
      <c r="W279" s="264" t="s">
        <v>792</v>
      </c>
      <c r="X279" s="264" t="s">
        <v>792</v>
      </c>
      <c r="Y279" s="264" t="s">
        <v>792</v>
      </c>
      <c r="Z279" s="264" t="s">
        <v>792</v>
      </c>
      <c r="AA279" s="264" t="s">
        <v>792</v>
      </c>
      <c r="AB279" s="264" t="s">
        <v>792</v>
      </c>
      <c r="AC279" s="264" t="s">
        <v>792</v>
      </c>
      <c r="AD279" s="264" t="s">
        <v>792</v>
      </c>
      <c r="AE279" s="264" t="s">
        <v>792</v>
      </c>
      <c r="AF279" s="264" t="s">
        <v>792</v>
      </c>
      <c r="AG279" s="264" t="s">
        <v>792</v>
      </c>
      <c r="AH279" s="264" t="s">
        <v>792</v>
      </c>
      <c r="AI279" s="264" t="s">
        <v>792</v>
      </c>
      <c r="AJ279" s="264" t="s">
        <v>792</v>
      </c>
      <c r="AK279" s="264" t="s">
        <v>792</v>
      </c>
      <c r="AL279" s="264" t="s">
        <v>792</v>
      </c>
      <c r="AM279" s="264" t="s">
        <v>792</v>
      </c>
      <c r="AN279" s="264" t="s">
        <v>792</v>
      </c>
      <c r="AO279" s="264" t="s">
        <v>792</v>
      </c>
      <c r="AP279" s="264" t="s">
        <v>792</v>
      </c>
      <c r="AQ279" s="264" t="s">
        <v>792</v>
      </c>
      <c r="AR279" s="264" t="s">
        <v>792</v>
      </c>
      <c r="AS279" s="264" t="s">
        <v>792</v>
      </c>
      <c r="AT279" s="264" t="s">
        <v>792</v>
      </c>
      <c r="AU279" s="264" t="s">
        <v>792</v>
      </c>
      <c r="AV279" s="264" t="s">
        <v>792</v>
      </c>
      <c r="AW279" s="264" t="s">
        <v>792</v>
      </c>
      <c r="AX279" s="264" t="s">
        <v>792</v>
      </c>
      <c r="AY279" s="264" t="s">
        <v>792</v>
      </c>
      <c r="AZ279" s="264" t="s">
        <v>792</v>
      </c>
      <c r="BA279" s="264" t="s">
        <v>792</v>
      </c>
      <c r="BB279" s="264" t="s">
        <v>792</v>
      </c>
      <c r="BC279" s="264" t="s">
        <v>792</v>
      </c>
      <c r="BD279" s="264" t="s">
        <v>792</v>
      </c>
      <c r="BE279" s="264" t="s">
        <v>792</v>
      </c>
      <c r="BF279" s="264" t="s">
        <v>792</v>
      </c>
    </row>
    <row r="280" spans="1:58" x14ac:dyDescent="0.3">
      <c r="A280" s="265" t="s">
        <v>829</v>
      </c>
      <c r="B280" s="256" t="s">
        <v>792</v>
      </c>
      <c r="C280" s="257">
        <v>0</v>
      </c>
      <c r="D280" s="257">
        <v>0</v>
      </c>
      <c r="E280" s="257">
        <v>0</v>
      </c>
      <c r="F280" s="257">
        <v>0</v>
      </c>
      <c r="G280" s="257">
        <v>0</v>
      </c>
      <c r="H280" s="257">
        <v>0</v>
      </c>
      <c r="I280" s="257">
        <v>0</v>
      </c>
      <c r="J280" s="257">
        <v>0</v>
      </c>
      <c r="K280" s="257">
        <v>0</v>
      </c>
      <c r="L280" s="257">
        <v>0</v>
      </c>
      <c r="M280" s="257">
        <v>0</v>
      </c>
      <c r="N280" s="257">
        <v>0</v>
      </c>
      <c r="O280" s="257">
        <v>0</v>
      </c>
      <c r="P280" s="257">
        <v>0</v>
      </c>
      <c r="Q280" s="257">
        <v>0</v>
      </c>
      <c r="R280" s="257">
        <v>0</v>
      </c>
      <c r="S280" s="257">
        <v>0</v>
      </c>
      <c r="T280" s="257">
        <v>0</v>
      </c>
      <c r="U280" s="257">
        <v>0</v>
      </c>
      <c r="V280" s="257">
        <v>0</v>
      </c>
      <c r="W280" s="257">
        <v>0</v>
      </c>
      <c r="X280" s="257">
        <v>0</v>
      </c>
      <c r="Y280" s="257">
        <v>0</v>
      </c>
      <c r="Z280" s="257">
        <v>0</v>
      </c>
      <c r="AA280" s="257">
        <v>0</v>
      </c>
      <c r="AB280" s="257">
        <v>0</v>
      </c>
      <c r="AC280" s="257">
        <v>0</v>
      </c>
      <c r="AD280" s="257">
        <v>0</v>
      </c>
      <c r="AE280" s="257">
        <v>0</v>
      </c>
      <c r="AF280" s="257">
        <v>0</v>
      </c>
      <c r="AG280" s="257">
        <v>0</v>
      </c>
      <c r="AH280" s="257">
        <v>0</v>
      </c>
      <c r="AI280" s="257">
        <v>0</v>
      </c>
      <c r="AJ280" s="257">
        <v>0</v>
      </c>
      <c r="AK280" s="257">
        <v>0</v>
      </c>
      <c r="AL280" s="257">
        <v>0</v>
      </c>
      <c r="AM280" s="257">
        <v>0</v>
      </c>
      <c r="AN280" s="257">
        <v>0</v>
      </c>
      <c r="AO280" s="257">
        <v>0</v>
      </c>
      <c r="AP280" s="257">
        <v>0</v>
      </c>
      <c r="AQ280" s="257">
        <v>0</v>
      </c>
      <c r="AR280" s="257">
        <v>0</v>
      </c>
      <c r="AS280" s="257">
        <v>0</v>
      </c>
      <c r="AT280" s="257">
        <v>0</v>
      </c>
      <c r="AU280" s="257">
        <v>0</v>
      </c>
      <c r="AV280" s="257">
        <v>0</v>
      </c>
      <c r="AW280" s="257">
        <v>0</v>
      </c>
      <c r="AX280" s="257">
        <v>0</v>
      </c>
      <c r="AY280" s="257">
        <v>0</v>
      </c>
      <c r="AZ280" s="257">
        <v>0</v>
      </c>
      <c r="BA280" s="257">
        <v>0</v>
      </c>
      <c r="BB280" s="257">
        <v>0</v>
      </c>
      <c r="BC280" s="257">
        <v>0</v>
      </c>
      <c r="BD280" s="257">
        <v>0</v>
      </c>
      <c r="BE280" s="257">
        <v>0</v>
      </c>
      <c r="BF280" s="257">
        <v>0</v>
      </c>
    </row>
    <row r="281" spans="1:58" x14ac:dyDescent="0.3">
      <c r="A281" s="265" t="s">
        <v>830</v>
      </c>
      <c r="B281" s="256" t="s">
        <v>792</v>
      </c>
      <c r="C281" s="257">
        <v>4556</v>
      </c>
      <c r="D281" s="257">
        <v>0</v>
      </c>
      <c r="E281" s="257">
        <v>0</v>
      </c>
      <c r="F281" s="257">
        <v>0</v>
      </c>
      <c r="G281" s="257">
        <v>0</v>
      </c>
      <c r="H281" s="257">
        <v>0</v>
      </c>
      <c r="I281" s="257">
        <v>0</v>
      </c>
      <c r="J281" s="257">
        <v>0</v>
      </c>
      <c r="K281" s="257">
        <v>0</v>
      </c>
      <c r="L281" s="257">
        <v>0</v>
      </c>
      <c r="M281" s="257">
        <v>0</v>
      </c>
      <c r="N281" s="257">
        <v>0</v>
      </c>
      <c r="O281" s="257">
        <v>0</v>
      </c>
      <c r="P281" s="257">
        <v>0</v>
      </c>
      <c r="Q281" s="257">
        <v>0</v>
      </c>
      <c r="R281" s="257">
        <v>0</v>
      </c>
      <c r="S281" s="257">
        <v>0</v>
      </c>
      <c r="T281" s="257">
        <v>0</v>
      </c>
      <c r="U281" s="257">
        <v>0</v>
      </c>
      <c r="V281" s="257">
        <v>0</v>
      </c>
      <c r="W281" s="257">
        <v>0</v>
      </c>
      <c r="X281" s="257">
        <v>0</v>
      </c>
      <c r="Y281" s="257">
        <v>0</v>
      </c>
      <c r="Z281" s="257">
        <v>0</v>
      </c>
      <c r="AA281" s="257">
        <v>0</v>
      </c>
      <c r="AB281" s="257">
        <v>0</v>
      </c>
      <c r="AC281" s="257">
        <v>0</v>
      </c>
      <c r="AD281" s="257">
        <v>0</v>
      </c>
      <c r="AE281" s="257">
        <v>0</v>
      </c>
      <c r="AF281" s="257">
        <v>0</v>
      </c>
      <c r="AG281" s="257">
        <v>0</v>
      </c>
      <c r="AH281" s="257">
        <v>0</v>
      </c>
      <c r="AI281" s="257">
        <v>0</v>
      </c>
      <c r="AJ281" s="257">
        <v>0</v>
      </c>
      <c r="AK281" s="257">
        <v>0</v>
      </c>
      <c r="AL281" s="257">
        <v>0</v>
      </c>
      <c r="AM281" s="257">
        <v>0</v>
      </c>
      <c r="AN281" s="257">
        <v>0</v>
      </c>
      <c r="AO281" s="257">
        <v>0</v>
      </c>
      <c r="AP281" s="257">
        <v>0</v>
      </c>
      <c r="AQ281" s="257">
        <v>0</v>
      </c>
      <c r="AR281" s="257">
        <v>0</v>
      </c>
      <c r="AS281" s="257">
        <v>0</v>
      </c>
      <c r="AT281" s="257">
        <v>0</v>
      </c>
      <c r="AU281" s="257">
        <v>0</v>
      </c>
      <c r="AV281" s="257">
        <v>0</v>
      </c>
      <c r="AW281" s="257">
        <v>0</v>
      </c>
      <c r="AX281" s="257">
        <v>0</v>
      </c>
      <c r="AY281" s="257">
        <v>0</v>
      </c>
      <c r="AZ281" s="257">
        <v>0</v>
      </c>
      <c r="BA281" s="257">
        <v>0</v>
      </c>
      <c r="BB281" s="257">
        <v>0</v>
      </c>
      <c r="BC281" s="257">
        <v>0</v>
      </c>
      <c r="BD281" s="257">
        <v>0</v>
      </c>
      <c r="BE281" s="257">
        <v>0</v>
      </c>
      <c r="BF281" s="257">
        <v>0</v>
      </c>
    </row>
    <row r="282" spans="1:58" x14ac:dyDescent="0.3">
      <c r="A282" s="265" t="s">
        <v>1030</v>
      </c>
      <c r="B282" s="256" t="s">
        <v>792</v>
      </c>
      <c r="C282" s="257">
        <v>0</v>
      </c>
      <c r="D282" s="257">
        <v>0</v>
      </c>
      <c r="E282" s="257">
        <v>0</v>
      </c>
      <c r="F282" s="256" t="s">
        <v>792</v>
      </c>
      <c r="G282" s="256" t="s">
        <v>792</v>
      </c>
      <c r="H282" s="256" t="s">
        <v>792</v>
      </c>
      <c r="I282" s="256" t="s">
        <v>792</v>
      </c>
      <c r="J282" s="256" t="s">
        <v>792</v>
      </c>
      <c r="K282" s="256" t="s">
        <v>792</v>
      </c>
      <c r="L282" s="256" t="s">
        <v>792</v>
      </c>
      <c r="M282" s="256" t="s">
        <v>792</v>
      </c>
      <c r="N282" s="256" t="s">
        <v>792</v>
      </c>
      <c r="O282" s="256" t="s">
        <v>792</v>
      </c>
      <c r="P282" s="256" t="s">
        <v>792</v>
      </c>
      <c r="Q282" s="256" t="s">
        <v>792</v>
      </c>
      <c r="R282" s="256" t="s">
        <v>792</v>
      </c>
      <c r="S282" s="256" t="s">
        <v>792</v>
      </c>
      <c r="T282" s="256" t="s">
        <v>792</v>
      </c>
      <c r="U282" s="256" t="s">
        <v>792</v>
      </c>
      <c r="V282" s="256" t="s">
        <v>792</v>
      </c>
      <c r="W282" s="256" t="s">
        <v>792</v>
      </c>
      <c r="X282" s="256" t="s">
        <v>792</v>
      </c>
      <c r="Y282" s="256" t="s">
        <v>792</v>
      </c>
      <c r="Z282" s="256" t="s">
        <v>792</v>
      </c>
      <c r="AA282" s="256" t="s">
        <v>792</v>
      </c>
      <c r="AB282" s="256" t="s">
        <v>792</v>
      </c>
      <c r="AC282" s="256" t="s">
        <v>792</v>
      </c>
      <c r="AD282" s="256" t="s">
        <v>792</v>
      </c>
      <c r="AE282" s="256" t="s">
        <v>792</v>
      </c>
      <c r="AF282" s="256" t="s">
        <v>792</v>
      </c>
      <c r="AG282" s="256" t="s">
        <v>792</v>
      </c>
      <c r="AH282" s="256" t="s">
        <v>792</v>
      </c>
      <c r="AI282" s="256" t="s">
        <v>792</v>
      </c>
      <c r="AJ282" s="256" t="s">
        <v>792</v>
      </c>
      <c r="AK282" s="256" t="s">
        <v>792</v>
      </c>
      <c r="AL282" s="256" t="s">
        <v>792</v>
      </c>
      <c r="AM282" s="256" t="s">
        <v>792</v>
      </c>
      <c r="AN282" s="256" t="s">
        <v>792</v>
      </c>
      <c r="AO282" s="256" t="s">
        <v>792</v>
      </c>
      <c r="AP282" s="256" t="s">
        <v>792</v>
      </c>
      <c r="AQ282" s="256" t="s">
        <v>792</v>
      </c>
      <c r="AR282" s="256" t="s">
        <v>792</v>
      </c>
      <c r="AS282" s="256" t="s">
        <v>792</v>
      </c>
      <c r="AT282" s="256" t="s">
        <v>792</v>
      </c>
      <c r="AU282" s="256" t="s">
        <v>792</v>
      </c>
      <c r="AV282" s="256" t="s">
        <v>792</v>
      </c>
      <c r="AW282" s="256" t="s">
        <v>792</v>
      </c>
      <c r="AX282" s="256" t="s">
        <v>792</v>
      </c>
      <c r="AY282" s="256" t="s">
        <v>792</v>
      </c>
      <c r="AZ282" s="256" t="s">
        <v>792</v>
      </c>
      <c r="BA282" s="256" t="s">
        <v>792</v>
      </c>
      <c r="BB282" s="256" t="s">
        <v>792</v>
      </c>
      <c r="BC282" s="256" t="s">
        <v>792</v>
      </c>
      <c r="BD282" s="256" t="s">
        <v>792</v>
      </c>
      <c r="BE282" s="256" t="s">
        <v>792</v>
      </c>
      <c r="BF282" s="256" t="s">
        <v>792</v>
      </c>
    </row>
    <row r="283" spans="1:58" x14ac:dyDescent="0.3">
      <c r="A283" s="263" t="s">
        <v>1031</v>
      </c>
      <c r="B283" s="259">
        <v>0</v>
      </c>
      <c r="C283" s="259">
        <v>0</v>
      </c>
      <c r="D283" s="259">
        <v>0</v>
      </c>
      <c r="E283" s="259">
        <v>0</v>
      </c>
      <c r="F283" s="264" t="s">
        <v>792</v>
      </c>
      <c r="G283" s="264" t="s">
        <v>792</v>
      </c>
      <c r="H283" s="264" t="s">
        <v>792</v>
      </c>
      <c r="I283" s="264" t="s">
        <v>792</v>
      </c>
      <c r="J283" s="264" t="s">
        <v>792</v>
      </c>
      <c r="K283" s="264" t="s">
        <v>792</v>
      </c>
      <c r="L283" s="264" t="s">
        <v>792</v>
      </c>
      <c r="M283" s="264" t="s">
        <v>792</v>
      </c>
      <c r="N283" s="264" t="s">
        <v>792</v>
      </c>
      <c r="O283" s="264" t="s">
        <v>792</v>
      </c>
      <c r="P283" s="264" t="s">
        <v>792</v>
      </c>
      <c r="Q283" s="264" t="s">
        <v>792</v>
      </c>
      <c r="R283" s="264" t="s">
        <v>792</v>
      </c>
      <c r="S283" s="264" t="s">
        <v>792</v>
      </c>
      <c r="T283" s="264" t="s">
        <v>792</v>
      </c>
      <c r="U283" s="264" t="s">
        <v>792</v>
      </c>
      <c r="V283" s="264" t="s">
        <v>792</v>
      </c>
      <c r="W283" s="264" t="s">
        <v>792</v>
      </c>
      <c r="X283" s="264" t="s">
        <v>792</v>
      </c>
      <c r="Y283" s="264" t="s">
        <v>792</v>
      </c>
      <c r="Z283" s="264" t="s">
        <v>792</v>
      </c>
      <c r="AA283" s="264" t="s">
        <v>792</v>
      </c>
      <c r="AB283" s="264" t="s">
        <v>792</v>
      </c>
      <c r="AC283" s="264" t="s">
        <v>792</v>
      </c>
      <c r="AD283" s="264" t="s">
        <v>792</v>
      </c>
      <c r="AE283" s="264" t="s">
        <v>792</v>
      </c>
      <c r="AF283" s="264" t="s">
        <v>792</v>
      </c>
      <c r="AG283" s="264" t="s">
        <v>792</v>
      </c>
      <c r="AH283" s="264" t="s">
        <v>792</v>
      </c>
      <c r="AI283" s="264" t="s">
        <v>792</v>
      </c>
      <c r="AJ283" s="264" t="s">
        <v>792</v>
      </c>
      <c r="AK283" s="264" t="s">
        <v>792</v>
      </c>
      <c r="AL283" s="264" t="s">
        <v>792</v>
      </c>
      <c r="AM283" s="264" t="s">
        <v>792</v>
      </c>
      <c r="AN283" s="264" t="s">
        <v>792</v>
      </c>
      <c r="AO283" s="264" t="s">
        <v>792</v>
      </c>
      <c r="AP283" s="264" t="s">
        <v>792</v>
      </c>
      <c r="AQ283" s="264" t="s">
        <v>792</v>
      </c>
      <c r="AR283" s="264" t="s">
        <v>792</v>
      </c>
      <c r="AS283" s="264" t="s">
        <v>792</v>
      </c>
      <c r="AT283" s="264" t="s">
        <v>792</v>
      </c>
      <c r="AU283" s="264" t="s">
        <v>792</v>
      </c>
      <c r="AV283" s="264" t="s">
        <v>792</v>
      </c>
      <c r="AW283" s="264" t="s">
        <v>792</v>
      </c>
      <c r="AX283" s="264" t="s">
        <v>792</v>
      </c>
      <c r="AY283" s="264" t="s">
        <v>792</v>
      </c>
      <c r="AZ283" s="264" t="s">
        <v>792</v>
      </c>
      <c r="BA283" s="264" t="s">
        <v>792</v>
      </c>
      <c r="BB283" s="264" t="s">
        <v>792</v>
      </c>
      <c r="BC283" s="264" t="s">
        <v>792</v>
      </c>
      <c r="BD283" s="264" t="s">
        <v>792</v>
      </c>
      <c r="BE283" s="264" t="s">
        <v>792</v>
      </c>
      <c r="BF283" s="264" t="s">
        <v>792</v>
      </c>
    </row>
    <row r="284" spans="1:58" x14ac:dyDescent="0.3">
      <c r="A284" s="260" t="s">
        <v>1032</v>
      </c>
      <c r="B284" s="262">
        <v>57435</v>
      </c>
      <c r="C284" s="262">
        <v>63762</v>
      </c>
      <c r="D284" s="262">
        <v>120237</v>
      </c>
      <c r="E284" s="262">
        <v>188969</v>
      </c>
      <c r="F284" s="261" t="s">
        <v>792</v>
      </c>
      <c r="G284" s="261" t="s">
        <v>792</v>
      </c>
      <c r="H284" s="261" t="s">
        <v>792</v>
      </c>
      <c r="I284" s="261" t="s">
        <v>792</v>
      </c>
      <c r="J284" s="261" t="s">
        <v>792</v>
      </c>
      <c r="K284" s="261" t="s">
        <v>792</v>
      </c>
      <c r="L284" s="261" t="s">
        <v>792</v>
      </c>
      <c r="M284" s="261" t="s">
        <v>792</v>
      </c>
      <c r="N284" s="261" t="s">
        <v>792</v>
      </c>
      <c r="O284" s="261" t="s">
        <v>792</v>
      </c>
      <c r="P284" s="261" t="s">
        <v>792</v>
      </c>
      <c r="Q284" s="261" t="s">
        <v>792</v>
      </c>
      <c r="R284" s="261" t="s">
        <v>792</v>
      </c>
      <c r="S284" s="261" t="s">
        <v>792</v>
      </c>
      <c r="T284" s="261" t="s">
        <v>792</v>
      </c>
      <c r="U284" s="261" t="s">
        <v>792</v>
      </c>
      <c r="V284" s="261" t="s">
        <v>792</v>
      </c>
      <c r="W284" s="261" t="s">
        <v>792</v>
      </c>
      <c r="X284" s="261" t="s">
        <v>792</v>
      </c>
      <c r="Y284" s="261" t="s">
        <v>792</v>
      </c>
      <c r="Z284" s="261" t="s">
        <v>792</v>
      </c>
      <c r="AA284" s="261" t="s">
        <v>792</v>
      </c>
      <c r="AB284" s="261" t="s">
        <v>792</v>
      </c>
      <c r="AC284" s="261" t="s">
        <v>792</v>
      </c>
      <c r="AD284" s="261" t="s">
        <v>792</v>
      </c>
      <c r="AE284" s="261" t="s">
        <v>792</v>
      </c>
      <c r="AF284" s="261" t="s">
        <v>792</v>
      </c>
      <c r="AG284" s="261" t="s">
        <v>792</v>
      </c>
      <c r="AH284" s="261" t="s">
        <v>792</v>
      </c>
      <c r="AI284" s="261" t="s">
        <v>792</v>
      </c>
      <c r="AJ284" s="261" t="s">
        <v>792</v>
      </c>
      <c r="AK284" s="261" t="s">
        <v>792</v>
      </c>
      <c r="AL284" s="261" t="s">
        <v>792</v>
      </c>
      <c r="AM284" s="261" t="s">
        <v>792</v>
      </c>
      <c r="AN284" s="261" t="s">
        <v>792</v>
      </c>
      <c r="AO284" s="261" t="s">
        <v>792</v>
      </c>
      <c r="AP284" s="261" t="s">
        <v>792</v>
      </c>
      <c r="AQ284" s="261" t="s">
        <v>792</v>
      </c>
      <c r="AR284" s="261" t="s">
        <v>792</v>
      </c>
      <c r="AS284" s="261" t="s">
        <v>792</v>
      </c>
      <c r="AT284" s="261" t="s">
        <v>792</v>
      </c>
      <c r="AU284" s="261" t="s">
        <v>792</v>
      </c>
      <c r="AV284" s="261" t="s">
        <v>792</v>
      </c>
      <c r="AW284" s="261" t="s">
        <v>792</v>
      </c>
      <c r="AX284" s="261" t="s">
        <v>792</v>
      </c>
      <c r="AY284" s="261" t="s">
        <v>792</v>
      </c>
      <c r="AZ284" s="261" t="s">
        <v>792</v>
      </c>
      <c r="BA284" s="261" t="s">
        <v>792</v>
      </c>
      <c r="BB284" s="261" t="s">
        <v>792</v>
      </c>
      <c r="BC284" s="261" t="s">
        <v>792</v>
      </c>
      <c r="BD284" s="261" t="s">
        <v>792</v>
      </c>
      <c r="BE284" s="261" t="s">
        <v>792</v>
      </c>
      <c r="BF284" s="261" t="s">
        <v>792</v>
      </c>
    </row>
    <row r="285" spans="1:58" x14ac:dyDescent="0.3">
      <c r="A285" s="263" t="s">
        <v>837</v>
      </c>
      <c r="B285" s="259">
        <v>0</v>
      </c>
      <c r="C285" s="259">
        <v>0</v>
      </c>
      <c r="D285" s="259">
        <v>0</v>
      </c>
      <c r="E285" s="259">
        <v>0</v>
      </c>
      <c r="F285" s="259">
        <v>0</v>
      </c>
      <c r="G285" s="259">
        <v>0</v>
      </c>
      <c r="H285" s="259">
        <v>0</v>
      </c>
      <c r="I285" s="259">
        <v>0</v>
      </c>
      <c r="J285" s="259">
        <v>0</v>
      </c>
      <c r="K285" s="259">
        <v>0</v>
      </c>
      <c r="L285" s="259">
        <v>0</v>
      </c>
      <c r="M285" s="259">
        <v>0</v>
      </c>
      <c r="N285" s="259">
        <v>0</v>
      </c>
      <c r="O285" s="259">
        <v>0</v>
      </c>
      <c r="P285" s="259">
        <v>0</v>
      </c>
      <c r="Q285" s="259">
        <v>0</v>
      </c>
      <c r="R285" s="259">
        <v>0</v>
      </c>
      <c r="S285" s="259">
        <v>0</v>
      </c>
      <c r="T285" s="259">
        <v>0</v>
      </c>
      <c r="U285" s="259">
        <v>0</v>
      </c>
      <c r="V285" s="259">
        <v>0</v>
      </c>
      <c r="W285" s="259">
        <v>0</v>
      </c>
      <c r="X285" s="259">
        <v>0</v>
      </c>
      <c r="Y285" s="259">
        <v>0</v>
      </c>
      <c r="Z285" s="259">
        <v>0</v>
      </c>
      <c r="AA285" s="259">
        <v>0</v>
      </c>
      <c r="AB285" s="259">
        <v>0</v>
      </c>
      <c r="AC285" s="259">
        <v>0</v>
      </c>
      <c r="AD285" s="259">
        <v>0</v>
      </c>
      <c r="AE285" s="259">
        <v>0</v>
      </c>
      <c r="AF285" s="259">
        <v>0</v>
      </c>
      <c r="AG285" s="259">
        <v>0</v>
      </c>
      <c r="AH285" s="259">
        <v>0</v>
      </c>
      <c r="AI285" s="259">
        <v>0</v>
      </c>
      <c r="AJ285" s="259">
        <v>0</v>
      </c>
      <c r="AK285" s="259">
        <v>0</v>
      </c>
      <c r="AL285" s="259">
        <v>0</v>
      </c>
      <c r="AM285" s="259">
        <v>0</v>
      </c>
      <c r="AN285" s="259">
        <v>0</v>
      </c>
      <c r="AO285" s="259">
        <v>0</v>
      </c>
      <c r="AP285" s="259">
        <v>0</v>
      </c>
      <c r="AQ285" s="259">
        <v>0</v>
      </c>
      <c r="AR285" s="259">
        <v>0</v>
      </c>
      <c r="AS285" s="259">
        <v>0</v>
      </c>
      <c r="AT285" s="259">
        <v>0</v>
      </c>
      <c r="AU285" s="259">
        <v>0</v>
      </c>
      <c r="AV285" s="259">
        <v>0</v>
      </c>
      <c r="AW285" s="259">
        <v>0</v>
      </c>
      <c r="AX285" s="259">
        <v>0</v>
      </c>
      <c r="AY285" s="259">
        <v>0</v>
      </c>
      <c r="AZ285" s="259">
        <v>0</v>
      </c>
      <c r="BA285" s="259">
        <v>0</v>
      </c>
      <c r="BB285" s="259">
        <v>0</v>
      </c>
      <c r="BC285" s="259">
        <v>0</v>
      </c>
      <c r="BD285" s="259">
        <v>0</v>
      </c>
      <c r="BE285" s="259">
        <v>0</v>
      </c>
      <c r="BF285" s="259">
        <v>0</v>
      </c>
    </row>
    <row r="286" spans="1:58" x14ac:dyDescent="0.3">
      <c r="A286" s="265" t="s">
        <v>1033</v>
      </c>
      <c r="B286" s="257">
        <v>0</v>
      </c>
      <c r="C286" s="257">
        <v>0</v>
      </c>
      <c r="D286" s="257">
        <v>0</v>
      </c>
      <c r="E286" s="257">
        <v>0</v>
      </c>
      <c r="F286" s="257">
        <v>0</v>
      </c>
      <c r="G286" s="257">
        <v>0</v>
      </c>
      <c r="H286" s="257">
        <v>0</v>
      </c>
      <c r="I286" s="257">
        <v>0</v>
      </c>
      <c r="J286" s="257">
        <v>0</v>
      </c>
      <c r="K286" s="257">
        <v>0</v>
      </c>
      <c r="L286" s="257">
        <v>0</v>
      </c>
      <c r="M286" s="257">
        <v>0</v>
      </c>
      <c r="N286" s="257">
        <v>0</v>
      </c>
      <c r="O286" s="257">
        <v>0</v>
      </c>
      <c r="P286" s="257">
        <v>0</v>
      </c>
      <c r="Q286" s="257">
        <v>0</v>
      </c>
      <c r="R286" s="257">
        <v>0</v>
      </c>
      <c r="S286" s="257">
        <v>0</v>
      </c>
      <c r="T286" s="257">
        <v>0</v>
      </c>
      <c r="U286" s="257">
        <v>0</v>
      </c>
      <c r="V286" s="257">
        <v>0</v>
      </c>
      <c r="W286" s="257">
        <v>0</v>
      </c>
      <c r="X286" s="257">
        <v>0</v>
      </c>
      <c r="Y286" s="257">
        <v>0</v>
      </c>
      <c r="Z286" s="257">
        <v>0</v>
      </c>
      <c r="AA286" s="257">
        <v>0</v>
      </c>
      <c r="AB286" s="257">
        <v>0</v>
      </c>
      <c r="AC286" s="257">
        <v>0</v>
      </c>
      <c r="AD286" s="257">
        <v>0</v>
      </c>
      <c r="AE286" s="257">
        <v>0</v>
      </c>
      <c r="AF286" s="257">
        <v>0</v>
      </c>
      <c r="AG286" s="257">
        <v>0</v>
      </c>
      <c r="AH286" s="257">
        <v>0</v>
      </c>
      <c r="AI286" s="257">
        <v>0</v>
      </c>
      <c r="AJ286" s="257">
        <v>0</v>
      </c>
      <c r="AK286" s="257">
        <v>0</v>
      </c>
      <c r="AL286" s="257">
        <v>0</v>
      </c>
      <c r="AM286" s="257">
        <v>0</v>
      </c>
      <c r="AN286" s="257">
        <v>0</v>
      </c>
      <c r="AO286" s="257">
        <v>0</v>
      </c>
      <c r="AP286" s="257">
        <v>0</v>
      </c>
      <c r="AQ286" s="257">
        <v>0</v>
      </c>
      <c r="AR286" s="257">
        <v>0</v>
      </c>
      <c r="AS286" s="257">
        <v>0</v>
      </c>
      <c r="AT286" s="257">
        <v>0</v>
      </c>
      <c r="AU286" s="257">
        <v>0</v>
      </c>
      <c r="AV286" s="257">
        <v>0</v>
      </c>
      <c r="AW286" s="257">
        <v>0</v>
      </c>
      <c r="AX286" s="257">
        <v>0</v>
      </c>
      <c r="AY286" s="257">
        <v>0</v>
      </c>
      <c r="AZ286" s="257">
        <v>0</v>
      </c>
      <c r="BA286" s="257">
        <v>0</v>
      </c>
      <c r="BB286" s="257">
        <v>0</v>
      </c>
      <c r="BC286" s="257">
        <v>0</v>
      </c>
      <c r="BD286" s="257">
        <v>0</v>
      </c>
      <c r="BE286" s="257">
        <v>0</v>
      </c>
      <c r="BF286" s="257">
        <v>0</v>
      </c>
    </row>
    <row r="287" spans="1:58" x14ac:dyDescent="0.3">
      <c r="A287" s="265" t="s">
        <v>1034</v>
      </c>
      <c r="B287" s="257">
        <v>0</v>
      </c>
      <c r="C287" s="257">
        <v>0</v>
      </c>
      <c r="D287" s="257">
        <v>0</v>
      </c>
      <c r="E287" s="257">
        <v>0</v>
      </c>
      <c r="F287" s="257">
        <v>0</v>
      </c>
      <c r="G287" s="257">
        <v>0</v>
      </c>
      <c r="H287" s="257">
        <v>0</v>
      </c>
      <c r="I287" s="257">
        <v>0</v>
      </c>
      <c r="J287" s="257">
        <v>0</v>
      </c>
      <c r="K287" s="257">
        <v>0</v>
      </c>
      <c r="L287" s="257">
        <v>0</v>
      </c>
      <c r="M287" s="257">
        <v>0</v>
      </c>
      <c r="N287" s="257">
        <v>0</v>
      </c>
      <c r="O287" s="257">
        <v>0</v>
      </c>
      <c r="P287" s="257">
        <v>0</v>
      </c>
      <c r="Q287" s="257">
        <v>0</v>
      </c>
      <c r="R287" s="257">
        <v>0</v>
      </c>
      <c r="S287" s="257">
        <v>0</v>
      </c>
      <c r="T287" s="257">
        <v>0</v>
      </c>
      <c r="U287" s="257">
        <v>0</v>
      </c>
      <c r="V287" s="257">
        <v>0</v>
      </c>
      <c r="W287" s="257">
        <v>0</v>
      </c>
      <c r="X287" s="257">
        <v>0</v>
      </c>
      <c r="Y287" s="257">
        <v>0</v>
      </c>
      <c r="Z287" s="257">
        <v>0</v>
      </c>
      <c r="AA287" s="257">
        <v>0</v>
      </c>
      <c r="AB287" s="257">
        <v>0</v>
      </c>
      <c r="AC287" s="257">
        <v>0</v>
      </c>
      <c r="AD287" s="257">
        <v>0</v>
      </c>
      <c r="AE287" s="257">
        <v>0</v>
      </c>
      <c r="AF287" s="257">
        <v>0</v>
      </c>
      <c r="AG287" s="257">
        <v>0</v>
      </c>
      <c r="AH287" s="257">
        <v>0</v>
      </c>
      <c r="AI287" s="257">
        <v>0</v>
      </c>
      <c r="AJ287" s="257">
        <v>0</v>
      </c>
      <c r="AK287" s="257">
        <v>0</v>
      </c>
      <c r="AL287" s="257">
        <v>0</v>
      </c>
      <c r="AM287" s="257">
        <v>0</v>
      </c>
      <c r="AN287" s="257">
        <v>0</v>
      </c>
      <c r="AO287" s="257">
        <v>0</v>
      </c>
      <c r="AP287" s="257">
        <v>0</v>
      </c>
      <c r="AQ287" s="257">
        <v>0</v>
      </c>
      <c r="AR287" s="257">
        <v>0</v>
      </c>
      <c r="AS287" s="257">
        <v>0</v>
      </c>
      <c r="AT287" s="257">
        <v>0</v>
      </c>
      <c r="AU287" s="257">
        <v>0</v>
      </c>
      <c r="AV287" s="257">
        <v>0</v>
      </c>
      <c r="AW287" s="257">
        <v>0</v>
      </c>
      <c r="AX287" s="257">
        <v>0</v>
      </c>
      <c r="AY287" s="257">
        <v>0</v>
      </c>
      <c r="AZ287" s="257">
        <v>0</v>
      </c>
      <c r="BA287" s="257">
        <v>0</v>
      </c>
      <c r="BB287" s="257">
        <v>0</v>
      </c>
      <c r="BC287" s="257">
        <v>0</v>
      </c>
      <c r="BD287" s="257">
        <v>0</v>
      </c>
      <c r="BE287" s="257">
        <v>0</v>
      </c>
      <c r="BF287" s="257">
        <v>0</v>
      </c>
    </row>
    <row r="288" spans="1:58" x14ac:dyDescent="0.3">
      <c r="A288" s="265" t="s">
        <v>1035</v>
      </c>
      <c r="B288" s="257">
        <v>0</v>
      </c>
      <c r="C288" s="257">
        <v>0</v>
      </c>
      <c r="D288" s="257">
        <v>0</v>
      </c>
      <c r="E288" s="257">
        <v>0</v>
      </c>
      <c r="F288" s="257">
        <v>0</v>
      </c>
      <c r="G288" s="257">
        <v>0</v>
      </c>
      <c r="H288" s="257">
        <v>0</v>
      </c>
      <c r="I288" s="257">
        <v>0</v>
      </c>
      <c r="J288" s="257">
        <v>0</v>
      </c>
      <c r="K288" s="257">
        <v>0</v>
      </c>
      <c r="L288" s="257">
        <v>0</v>
      </c>
      <c r="M288" s="257">
        <v>0</v>
      </c>
      <c r="N288" s="257">
        <v>0</v>
      </c>
      <c r="O288" s="257">
        <v>0</v>
      </c>
      <c r="P288" s="257">
        <v>0</v>
      </c>
      <c r="Q288" s="257">
        <v>0</v>
      </c>
      <c r="R288" s="257">
        <v>0</v>
      </c>
      <c r="S288" s="257">
        <v>0</v>
      </c>
      <c r="T288" s="257">
        <v>0</v>
      </c>
      <c r="U288" s="257">
        <v>0</v>
      </c>
      <c r="V288" s="257">
        <v>0</v>
      </c>
      <c r="W288" s="257">
        <v>0</v>
      </c>
      <c r="X288" s="257">
        <v>0</v>
      </c>
      <c r="Y288" s="257">
        <v>0</v>
      </c>
      <c r="Z288" s="257">
        <v>0</v>
      </c>
      <c r="AA288" s="257">
        <v>0</v>
      </c>
      <c r="AB288" s="257">
        <v>0</v>
      </c>
      <c r="AC288" s="257">
        <v>0</v>
      </c>
      <c r="AD288" s="257">
        <v>0</v>
      </c>
      <c r="AE288" s="257">
        <v>0</v>
      </c>
      <c r="AF288" s="257">
        <v>0</v>
      </c>
      <c r="AG288" s="257">
        <v>0</v>
      </c>
      <c r="AH288" s="257">
        <v>0</v>
      </c>
      <c r="AI288" s="257">
        <v>0</v>
      </c>
      <c r="AJ288" s="257">
        <v>0</v>
      </c>
      <c r="AK288" s="257">
        <v>0</v>
      </c>
      <c r="AL288" s="257">
        <v>0</v>
      </c>
      <c r="AM288" s="257">
        <v>0</v>
      </c>
      <c r="AN288" s="257">
        <v>0</v>
      </c>
      <c r="AO288" s="257">
        <v>0</v>
      </c>
      <c r="AP288" s="257">
        <v>0</v>
      </c>
      <c r="AQ288" s="257">
        <v>0</v>
      </c>
      <c r="AR288" s="257">
        <v>0</v>
      </c>
      <c r="AS288" s="257">
        <v>0</v>
      </c>
      <c r="AT288" s="257">
        <v>0</v>
      </c>
      <c r="AU288" s="257">
        <v>0</v>
      </c>
      <c r="AV288" s="257">
        <v>0</v>
      </c>
      <c r="AW288" s="257">
        <v>0</v>
      </c>
      <c r="AX288" s="257">
        <v>0</v>
      </c>
      <c r="AY288" s="257">
        <v>0</v>
      </c>
      <c r="AZ288" s="257">
        <v>0</v>
      </c>
      <c r="BA288" s="257">
        <v>0</v>
      </c>
      <c r="BB288" s="257">
        <v>0</v>
      </c>
      <c r="BC288" s="257">
        <v>0</v>
      </c>
      <c r="BD288" s="257">
        <v>0</v>
      </c>
      <c r="BE288" s="257">
        <v>0</v>
      </c>
      <c r="BF288" s="257">
        <v>0</v>
      </c>
    </row>
    <row r="289" spans="1:58" x14ac:dyDescent="0.3">
      <c r="A289" s="265" t="s">
        <v>1036</v>
      </c>
      <c r="B289" s="257">
        <v>0</v>
      </c>
      <c r="C289" s="257">
        <v>0</v>
      </c>
      <c r="D289" s="257">
        <v>0</v>
      </c>
      <c r="E289" s="257">
        <v>0</v>
      </c>
      <c r="F289" s="257">
        <v>0</v>
      </c>
      <c r="G289" s="257">
        <v>0</v>
      </c>
      <c r="H289" s="257">
        <v>0</v>
      </c>
      <c r="I289" s="257">
        <v>0</v>
      </c>
      <c r="J289" s="257">
        <v>0</v>
      </c>
      <c r="K289" s="257">
        <v>0</v>
      </c>
      <c r="L289" s="257">
        <v>0</v>
      </c>
      <c r="M289" s="257">
        <v>0</v>
      </c>
      <c r="N289" s="257">
        <v>0</v>
      </c>
      <c r="O289" s="257">
        <v>0</v>
      </c>
      <c r="P289" s="257">
        <v>0</v>
      </c>
      <c r="Q289" s="257">
        <v>0</v>
      </c>
      <c r="R289" s="257">
        <v>0</v>
      </c>
      <c r="S289" s="257">
        <v>0</v>
      </c>
      <c r="T289" s="257">
        <v>0</v>
      </c>
      <c r="U289" s="257">
        <v>0</v>
      </c>
      <c r="V289" s="257">
        <v>0</v>
      </c>
      <c r="W289" s="257">
        <v>0</v>
      </c>
      <c r="X289" s="257">
        <v>0</v>
      </c>
      <c r="Y289" s="257">
        <v>0</v>
      </c>
      <c r="Z289" s="257">
        <v>0</v>
      </c>
      <c r="AA289" s="257">
        <v>0</v>
      </c>
      <c r="AB289" s="257">
        <v>0</v>
      </c>
      <c r="AC289" s="257">
        <v>0</v>
      </c>
      <c r="AD289" s="257">
        <v>0</v>
      </c>
      <c r="AE289" s="257">
        <v>0</v>
      </c>
      <c r="AF289" s="257">
        <v>0</v>
      </c>
      <c r="AG289" s="257">
        <v>0</v>
      </c>
      <c r="AH289" s="257">
        <v>0</v>
      </c>
      <c r="AI289" s="257">
        <v>0</v>
      </c>
      <c r="AJ289" s="257">
        <v>0</v>
      </c>
      <c r="AK289" s="257">
        <v>0</v>
      </c>
      <c r="AL289" s="257">
        <v>0</v>
      </c>
      <c r="AM289" s="257">
        <v>0</v>
      </c>
      <c r="AN289" s="257">
        <v>0</v>
      </c>
      <c r="AO289" s="257">
        <v>0</v>
      </c>
      <c r="AP289" s="257">
        <v>0</v>
      </c>
      <c r="AQ289" s="257">
        <v>0</v>
      </c>
      <c r="AR289" s="257">
        <v>0</v>
      </c>
      <c r="AS289" s="257">
        <v>0</v>
      </c>
      <c r="AT289" s="257">
        <v>0</v>
      </c>
      <c r="AU289" s="257">
        <v>0</v>
      </c>
      <c r="AV289" s="257">
        <v>0</v>
      </c>
      <c r="AW289" s="257">
        <v>0</v>
      </c>
      <c r="AX289" s="257">
        <v>0</v>
      </c>
      <c r="AY289" s="257">
        <v>0</v>
      </c>
      <c r="AZ289" s="257">
        <v>0</v>
      </c>
      <c r="BA289" s="257">
        <v>0</v>
      </c>
      <c r="BB289" s="257">
        <v>0</v>
      </c>
      <c r="BC289" s="257">
        <v>0</v>
      </c>
      <c r="BD289" s="257">
        <v>0</v>
      </c>
      <c r="BE289" s="257">
        <v>0</v>
      </c>
      <c r="BF289" s="257">
        <v>0</v>
      </c>
    </row>
    <row r="290" spans="1:58" x14ac:dyDescent="0.3">
      <c r="A290" s="265" t="s">
        <v>1037</v>
      </c>
      <c r="B290" s="257">
        <v>0</v>
      </c>
      <c r="C290" s="257">
        <v>0</v>
      </c>
      <c r="D290" s="257">
        <v>0</v>
      </c>
      <c r="E290" s="257">
        <v>0</v>
      </c>
      <c r="F290" s="257">
        <v>0</v>
      </c>
      <c r="G290" s="257">
        <v>0</v>
      </c>
      <c r="H290" s="257">
        <v>0</v>
      </c>
      <c r="I290" s="257">
        <v>0</v>
      </c>
      <c r="J290" s="257">
        <v>0</v>
      </c>
      <c r="K290" s="257">
        <v>0</v>
      </c>
      <c r="L290" s="257">
        <v>0</v>
      </c>
      <c r="M290" s="257">
        <v>0</v>
      </c>
      <c r="N290" s="257">
        <v>0</v>
      </c>
      <c r="O290" s="257">
        <v>0</v>
      </c>
      <c r="P290" s="257">
        <v>0</v>
      </c>
      <c r="Q290" s="257">
        <v>0</v>
      </c>
      <c r="R290" s="257">
        <v>0</v>
      </c>
      <c r="S290" s="257">
        <v>0</v>
      </c>
      <c r="T290" s="257">
        <v>0</v>
      </c>
      <c r="U290" s="257">
        <v>0</v>
      </c>
      <c r="V290" s="257">
        <v>0</v>
      </c>
      <c r="W290" s="257">
        <v>0</v>
      </c>
      <c r="X290" s="257">
        <v>0</v>
      </c>
      <c r="Y290" s="257">
        <v>0</v>
      </c>
      <c r="Z290" s="257">
        <v>0</v>
      </c>
      <c r="AA290" s="257">
        <v>0</v>
      </c>
      <c r="AB290" s="257">
        <v>0</v>
      </c>
      <c r="AC290" s="257">
        <v>0</v>
      </c>
      <c r="AD290" s="257">
        <v>0</v>
      </c>
      <c r="AE290" s="257">
        <v>0</v>
      </c>
      <c r="AF290" s="257">
        <v>0</v>
      </c>
      <c r="AG290" s="257">
        <v>0</v>
      </c>
      <c r="AH290" s="257">
        <v>0</v>
      </c>
      <c r="AI290" s="257">
        <v>0</v>
      </c>
      <c r="AJ290" s="257">
        <v>0</v>
      </c>
      <c r="AK290" s="257">
        <v>0</v>
      </c>
      <c r="AL290" s="257">
        <v>0</v>
      </c>
      <c r="AM290" s="257">
        <v>0</v>
      </c>
      <c r="AN290" s="257">
        <v>0</v>
      </c>
      <c r="AO290" s="257">
        <v>0</v>
      </c>
      <c r="AP290" s="257">
        <v>0</v>
      </c>
      <c r="AQ290" s="257">
        <v>0</v>
      </c>
      <c r="AR290" s="257">
        <v>0</v>
      </c>
      <c r="AS290" s="257">
        <v>0</v>
      </c>
      <c r="AT290" s="257">
        <v>0</v>
      </c>
      <c r="AU290" s="257">
        <v>0</v>
      </c>
      <c r="AV290" s="257">
        <v>0</v>
      </c>
      <c r="AW290" s="257">
        <v>0</v>
      </c>
      <c r="AX290" s="257">
        <v>0</v>
      </c>
      <c r="AY290" s="257">
        <v>0</v>
      </c>
      <c r="AZ290" s="257">
        <v>0</v>
      </c>
      <c r="BA290" s="257">
        <v>0</v>
      </c>
      <c r="BB290" s="257">
        <v>0</v>
      </c>
      <c r="BC290" s="257">
        <v>0</v>
      </c>
      <c r="BD290" s="257">
        <v>0</v>
      </c>
      <c r="BE290" s="257">
        <v>0</v>
      </c>
      <c r="BF290" s="257">
        <v>0</v>
      </c>
    </row>
    <row r="291" spans="1:58" x14ac:dyDescent="0.3">
      <c r="A291" s="265" t="s">
        <v>798</v>
      </c>
      <c r="B291" s="257">
        <v>0</v>
      </c>
      <c r="C291" s="257">
        <v>0</v>
      </c>
      <c r="D291" s="257">
        <v>0</v>
      </c>
      <c r="E291" s="257">
        <v>0</v>
      </c>
      <c r="F291" s="257">
        <v>0</v>
      </c>
      <c r="G291" s="257">
        <v>0</v>
      </c>
      <c r="H291" s="257">
        <v>0</v>
      </c>
      <c r="I291" s="257">
        <v>0</v>
      </c>
      <c r="J291" s="257">
        <v>0</v>
      </c>
      <c r="K291" s="257">
        <v>0</v>
      </c>
      <c r="L291" s="257">
        <v>0</v>
      </c>
      <c r="M291" s="257">
        <v>0</v>
      </c>
      <c r="N291" s="257">
        <v>0</v>
      </c>
      <c r="O291" s="257">
        <v>0</v>
      </c>
      <c r="P291" s="257">
        <v>0</v>
      </c>
      <c r="Q291" s="257">
        <v>0</v>
      </c>
      <c r="R291" s="257">
        <v>0</v>
      </c>
      <c r="S291" s="257">
        <v>0</v>
      </c>
      <c r="T291" s="257">
        <v>0</v>
      </c>
      <c r="U291" s="257">
        <v>0</v>
      </c>
      <c r="V291" s="257">
        <v>0</v>
      </c>
      <c r="W291" s="257">
        <v>0</v>
      </c>
      <c r="X291" s="257">
        <v>0</v>
      </c>
      <c r="Y291" s="257">
        <v>0</v>
      </c>
      <c r="Z291" s="257">
        <v>0</v>
      </c>
      <c r="AA291" s="257">
        <v>0</v>
      </c>
      <c r="AB291" s="257">
        <v>0</v>
      </c>
      <c r="AC291" s="257">
        <v>0</v>
      </c>
      <c r="AD291" s="257">
        <v>0</v>
      </c>
      <c r="AE291" s="257">
        <v>0</v>
      </c>
      <c r="AF291" s="257">
        <v>0</v>
      </c>
      <c r="AG291" s="257">
        <v>0</v>
      </c>
      <c r="AH291" s="257">
        <v>0</v>
      </c>
      <c r="AI291" s="257">
        <v>0</v>
      </c>
      <c r="AJ291" s="257">
        <v>0</v>
      </c>
      <c r="AK291" s="257">
        <v>0</v>
      </c>
      <c r="AL291" s="257">
        <v>0</v>
      </c>
      <c r="AM291" s="257">
        <v>0</v>
      </c>
      <c r="AN291" s="257">
        <v>0</v>
      </c>
      <c r="AO291" s="257">
        <v>0</v>
      </c>
      <c r="AP291" s="257">
        <v>0</v>
      </c>
      <c r="AQ291" s="257">
        <v>0</v>
      </c>
      <c r="AR291" s="257">
        <v>0</v>
      </c>
      <c r="AS291" s="257">
        <v>0</v>
      </c>
      <c r="AT291" s="257">
        <v>0</v>
      </c>
      <c r="AU291" s="257">
        <v>0</v>
      </c>
      <c r="AV291" s="257">
        <v>0</v>
      </c>
      <c r="AW291" s="257">
        <v>0</v>
      </c>
      <c r="AX291" s="257">
        <v>0</v>
      </c>
      <c r="AY291" s="257">
        <v>0</v>
      </c>
      <c r="AZ291" s="257">
        <v>0</v>
      </c>
      <c r="BA291" s="257">
        <v>0</v>
      </c>
      <c r="BB291" s="257">
        <v>0</v>
      </c>
      <c r="BC291" s="257">
        <v>0</v>
      </c>
      <c r="BD291" s="257">
        <v>0</v>
      </c>
      <c r="BE291" s="257">
        <v>0</v>
      </c>
      <c r="BF291" s="257">
        <v>0</v>
      </c>
    </row>
    <row r="292" spans="1:58" x14ac:dyDescent="0.3">
      <c r="A292" s="263" t="s">
        <v>843</v>
      </c>
      <c r="B292" s="259">
        <v>4485</v>
      </c>
      <c r="C292" s="259">
        <v>6451</v>
      </c>
      <c r="D292" s="259">
        <v>7530</v>
      </c>
      <c r="E292" s="259">
        <v>16413</v>
      </c>
      <c r="F292" s="259">
        <v>38413</v>
      </c>
      <c r="G292" s="259">
        <v>100963</v>
      </c>
      <c r="H292" s="259">
        <v>160599</v>
      </c>
      <c r="I292" s="259">
        <v>189024</v>
      </c>
      <c r="J292" s="259">
        <v>323268</v>
      </c>
      <c r="K292" s="259">
        <v>339759</v>
      </c>
      <c r="L292" s="259">
        <v>385398</v>
      </c>
      <c r="M292" s="259">
        <v>386158</v>
      </c>
      <c r="N292" s="259">
        <v>393862</v>
      </c>
      <c r="O292" s="259">
        <v>283513</v>
      </c>
      <c r="P292" s="259">
        <v>280288</v>
      </c>
      <c r="Q292" s="259">
        <v>139949</v>
      </c>
      <c r="R292" s="259">
        <v>139124</v>
      </c>
      <c r="S292" s="259">
        <v>135211</v>
      </c>
      <c r="T292" s="259">
        <v>143714</v>
      </c>
      <c r="U292" s="259">
        <v>138041</v>
      </c>
      <c r="V292" s="259">
        <v>72925</v>
      </c>
      <c r="W292" s="259">
        <v>75155</v>
      </c>
      <c r="X292" s="259">
        <v>57364</v>
      </c>
      <c r="Y292" s="259">
        <v>60659</v>
      </c>
      <c r="Z292" s="259">
        <v>69949</v>
      </c>
      <c r="AA292" s="259">
        <v>58834</v>
      </c>
      <c r="AB292" s="259">
        <v>48051</v>
      </c>
      <c r="AC292" s="259">
        <v>48938</v>
      </c>
      <c r="AD292" s="259">
        <v>44234</v>
      </c>
      <c r="AE292" s="259">
        <v>78903</v>
      </c>
      <c r="AF292" s="259">
        <v>75661</v>
      </c>
      <c r="AG292" s="259">
        <v>68863</v>
      </c>
      <c r="AH292" s="259">
        <v>61286</v>
      </c>
      <c r="AI292" s="259">
        <v>58108</v>
      </c>
      <c r="AJ292" s="259">
        <v>60786</v>
      </c>
      <c r="AK292" s="259">
        <v>60338</v>
      </c>
      <c r="AL292" s="259">
        <v>45292</v>
      </c>
      <c r="AM292" s="259">
        <v>2581943</v>
      </c>
      <c r="AN292" s="259">
        <v>2522010</v>
      </c>
      <c r="AO292" s="259">
        <v>2775232</v>
      </c>
      <c r="AP292" s="259">
        <v>3054590</v>
      </c>
      <c r="AQ292" s="259">
        <v>4205678</v>
      </c>
      <c r="AR292" s="259">
        <v>4184993</v>
      </c>
      <c r="AS292" s="259">
        <v>4083757</v>
      </c>
      <c r="AT292" s="259">
        <v>3728849</v>
      </c>
      <c r="AU292" s="259">
        <v>3797797</v>
      </c>
      <c r="AV292" s="259">
        <v>3755678</v>
      </c>
      <c r="AW292" s="259">
        <v>3954371</v>
      </c>
      <c r="AX292" s="259">
        <v>3974912</v>
      </c>
      <c r="AY292" s="259">
        <v>3885005</v>
      </c>
      <c r="AZ292" s="259">
        <v>4503345</v>
      </c>
      <c r="BA292" s="259">
        <v>5142861</v>
      </c>
      <c r="BB292" s="259">
        <v>6136179</v>
      </c>
      <c r="BC292" s="259">
        <v>8618891</v>
      </c>
      <c r="BD292" s="259">
        <v>9348608</v>
      </c>
      <c r="BE292" s="259">
        <v>10653010</v>
      </c>
      <c r="BF292" s="259">
        <v>11469479</v>
      </c>
    </row>
    <row r="293" spans="1:58" x14ac:dyDescent="0.3">
      <c r="A293" s="263" t="s">
        <v>1038</v>
      </c>
      <c r="B293" s="259">
        <v>52950</v>
      </c>
      <c r="C293" s="259">
        <v>57311</v>
      </c>
      <c r="D293" s="259">
        <v>112707</v>
      </c>
      <c r="E293" s="259">
        <v>172556</v>
      </c>
      <c r="F293" s="264" t="s">
        <v>792</v>
      </c>
      <c r="G293" s="264" t="s">
        <v>792</v>
      </c>
      <c r="H293" s="264" t="s">
        <v>792</v>
      </c>
      <c r="I293" s="264" t="s">
        <v>792</v>
      </c>
      <c r="J293" s="264" t="s">
        <v>792</v>
      </c>
      <c r="K293" s="264" t="s">
        <v>792</v>
      </c>
      <c r="L293" s="264" t="s">
        <v>792</v>
      </c>
      <c r="M293" s="264" t="s">
        <v>792</v>
      </c>
      <c r="N293" s="264" t="s">
        <v>792</v>
      </c>
      <c r="O293" s="264" t="s">
        <v>792</v>
      </c>
      <c r="P293" s="264" t="s">
        <v>792</v>
      </c>
      <c r="Q293" s="264" t="s">
        <v>792</v>
      </c>
      <c r="R293" s="264" t="s">
        <v>792</v>
      </c>
      <c r="S293" s="264" t="s">
        <v>792</v>
      </c>
      <c r="T293" s="264" t="s">
        <v>792</v>
      </c>
      <c r="U293" s="264" t="s">
        <v>792</v>
      </c>
      <c r="V293" s="264" t="s">
        <v>792</v>
      </c>
      <c r="W293" s="264" t="s">
        <v>792</v>
      </c>
      <c r="X293" s="264" t="s">
        <v>792</v>
      </c>
      <c r="Y293" s="264" t="s">
        <v>792</v>
      </c>
      <c r="Z293" s="264" t="s">
        <v>792</v>
      </c>
      <c r="AA293" s="264" t="s">
        <v>792</v>
      </c>
      <c r="AB293" s="264" t="s">
        <v>792</v>
      </c>
      <c r="AC293" s="264" t="s">
        <v>792</v>
      </c>
      <c r="AD293" s="264" t="s">
        <v>792</v>
      </c>
      <c r="AE293" s="264" t="s">
        <v>792</v>
      </c>
      <c r="AF293" s="264" t="s">
        <v>792</v>
      </c>
      <c r="AG293" s="264" t="s">
        <v>792</v>
      </c>
      <c r="AH293" s="264" t="s">
        <v>792</v>
      </c>
      <c r="AI293" s="264" t="s">
        <v>792</v>
      </c>
      <c r="AJ293" s="264" t="s">
        <v>792</v>
      </c>
      <c r="AK293" s="264" t="s">
        <v>792</v>
      </c>
      <c r="AL293" s="264" t="s">
        <v>792</v>
      </c>
      <c r="AM293" s="264" t="s">
        <v>792</v>
      </c>
      <c r="AN293" s="264" t="s">
        <v>792</v>
      </c>
      <c r="AO293" s="264" t="s">
        <v>792</v>
      </c>
      <c r="AP293" s="264" t="s">
        <v>792</v>
      </c>
      <c r="AQ293" s="264" t="s">
        <v>792</v>
      </c>
      <c r="AR293" s="264" t="s">
        <v>792</v>
      </c>
      <c r="AS293" s="264" t="s">
        <v>792</v>
      </c>
      <c r="AT293" s="264" t="s">
        <v>792</v>
      </c>
      <c r="AU293" s="264" t="s">
        <v>792</v>
      </c>
      <c r="AV293" s="264" t="s">
        <v>792</v>
      </c>
      <c r="AW293" s="264" t="s">
        <v>792</v>
      </c>
      <c r="AX293" s="264" t="s">
        <v>792</v>
      </c>
      <c r="AY293" s="264" t="s">
        <v>792</v>
      </c>
      <c r="AZ293" s="264" t="s">
        <v>792</v>
      </c>
      <c r="BA293" s="264" t="s">
        <v>792</v>
      </c>
      <c r="BB293" s="264" t="s">
        <v>792</v>
      </c>
      <c r="BC293" s="264" t="s">
        <v>792</v>
      </c>
      <c r="BD293" s="264" t="s">
        <v>792</v>
      </c>
      <c r="BE293" s="264" t="s">
        <v>792</v>
      </c>
      <c r="BF293" s="264" t="s">
        <v>792</v>
      </c>
    </row>
    <row r="294" spans="1:58" x14ac:dyDescent="0.3">
      <c r="A294" s="263" t="s">
        <v>1039</v>
      </c>
      <c r="B294" s="259">
        <v>0</v>
      </c>
      <c r="C294" s="259">
        <v>0</v>
      </c>
      <c r="D294" s="259">
        <v>0</v>
      </c>
      <c r="E294" s="259">
        <v>0</v>
      </c>
      <c r="F294" s="259">
        <v>0</v>
      </c>
      <c r="G294" s="259">
        <v>0</v>
      </c>
      <c r="H294" s="259">
        <v>0</v>
      </c>
      <c r="I294" s="259">
        <v>0</v>
      </c>
      <c r="J294" s="259">
        <v>0</v>
      </c>
      <c r="K294" s="259">
        <v>0</v>
      </c>
      <c r="L294" s="259">
        <v>0</v>
      </c>
      <c r="M294" s="259">
        <v>0</v>
      </c>
      <c r="N294" s="259">
        <v>0</v>
      </c>
      <c r="O294" s="259">
        <v>0</v>
      </c>
      <c r="P294" s="259">
        <v>0</v>
      </c>
      <c r="Q294" s="259">
        <v>0</v>
      </c>
      <c r="R294" s="259">
        <v>0</v>
      </c>
      <c r="S294" s="259">
        <v>0</v>
      </c>
      <c r="T294" s="259">
        <v>0</v>
      </c>
      <c r="U294" s="259">
        <v>0</v>
      </c>
      <c r="V294" s="259">
        <v>0</v>
      </c>
      <c r="W294" s="259">
        <v>0</v>
      </c>
      <c r="X294" s="259">
        <v>0</v>
      </c>
      <c r="Y294" s="259">
        <v>0</v>
      </c>
      <c r="Z294" s="259">
        <v>0</v>
      </c>
      <c r="AA294" s="259">
        <v>0</v>
      </c>
      <c r="AB294" s="259">
        <v>0</v>
      </c>
      <c r="AC294" s="259">
        <v>0</v>
      </c>
      <c r="AD294" s="259">
        <v>0</v>
      </c>
      <c r="AE294" s="259">
        <v>0</v>
      </c>
      <c r="AF294" s="259">
        <v>0</v>
      </c>
      <c r="AG294" s="259">
        <v>0</v>
      </c>
      <c r="AH294" s="264" t="s">
        <v>792</v>
      </c>
      <c r="AI294" s="259">
        <v>0</v>
      </c>
      <c r="AJ294" s="264" t="s">
        <v>792</v>
      </c>
      <c r="AK294" s="264" t="s">
        <v>792</v>
      </c>
      <c r="AL294" s="264" t="s">
        <v>792</v>
      </c>
      <c r="AM294" s="264" t="s">
        <v>792</v>
      </c>
      <c r="AN294" s="264" t="s">
        <v>792</v>
      </c>
      <c r="AO294" s="264" t="s">
        <v>792</v>
      </c>
      <c r="AP294" s="264" t="s">
        <v>792</v>
      </c>
      <c r="AQ294" s="264" t="s">
        <v>792</v>
      </c>
      <c r="AR294" s="264" t="s">
        <v>792</v>
      </c>
      <c r="AS294" s="264" t="s">
        <v>792</v>
      </c>
      <c r="AT294" s="264" t="s">
        <v>792</v>
      </c>
      <c r="AU294" s="264" t="s">
        <v>792</v>
      </c>
      <c r="AV294" s="264" t="s">
        <v>792</v>
      </c>
      <c r="AW294" s="264" t="s">
        <v>792</v>
      </c>
      <c r="AX294" s="264" t="s">
        <v>792</v>
      </c>
      <c r="AY294" s="264" t="s">
        <v>792</v>
      </c>
      <c r="AZ294" s="264" t="s">
        <v>792</v>
      </c>
      <c r="BA294" s="264" t="s">
        <v>792</v>
      </c>
      <c r="BB294" s="264" t="s">
        <v>792</v>
      </c>
      <c r="BC294" s="264" t="s">
        <v>792</v>
      </c>
      <c r="BD294" s="264" t="s">
        <v>792</v>
      </c>
      <c r="BE294" s="264" t="s">
        <v>792</v>
      </c>
      <c r="BF294" s="264" t="s">
        <v>792</v>
      </c>
    </row>
    <row r="295" spans="1:58" x14ac:dyDescent="0.3">
      <c r="A295" s="255"/>
      <c r="B295" s="256"/>
      <c r="C295" s="256"/>
      <c r="D295" s="256"/>
      <c r="E295" s="256"/>
      <c r="F295" s="256"/>
      <c r="G295" s="256"/>
      <c r="H295" s="256"/>
      <c r="I295" s="256"/>
      <c r="J295" s="256"/>
      <c r="K295" s="256"/>
      <c r="L295" s="256"/>
      <c r="M295" s="256"/>
      <c r="N295" s="256"/>
      <c r="O295" s="256"/>
      <c r="P295" s="256"/>
      <c r="Q295" s="256"/>
      <c r="R295" s="256"/>
      <c r="S295" s="256"/>
      <c r="T295" s="256"/>
      <c r="U295" s="256"/>
      <c r="V295" s="256"/>
      <c r="W295" s="256"/>
      <c r="X295" s="256"/>
      <c r="Y295" s="256"/>
      <c r="Z295" s="256"/>
      <c r="AA295" s="256"/>
      <c r="AB295" s="256"/>
      <c r="AC295" s="256"/>
      <c r="AD295" s="256"/>
      <c r="AE295" s="256"/>
      <c r="AF295" s="256"/>
      <c r="AG295" s="256"/>
      <c r="AH295" s="256"/>
      <c r="AI295" s="256"/>
      <c r="AJ295" s="256"/>
      <c r="AK295" s="256"/>
      <c r="AL295" s="256"/>
      <c r="AM295" s="256"/>
      <c r="AN295" s="256"/>
      <c r="AO295" s="256"/>
      <c r="AP295" s="256"/>
      <c r="AQ295" s="256"/>
      <c r="AR295" s="256"/>
      <c r="AS295" s="256"/>
      <c r="AT295" s="256"/>
      <c r="AU295" s="256"/>
      <c r="AV295" s="256"/>
      <c r="AW295" s="256"/>
      <c r="AX295" s="256"/>
      <c r="AY295" s="256"/>
      <c r="AZ295" s="256"/>
      <c r="BA295" s="256"/>
      <c r="BB295" s="256"/>
      <c r="BC295" s="256"/>
      <c r="BD295" s="256"/>
      <c r="BE295" s="256"/>
      <c r="BF295" s="256"/>
    </row>
    <row r="296" spans="1:58" x14ac:dyDescent="0.3">
      <c r="A296" s="255" t="s">
        <v>851</v>
      </c>
      <c r="B296" s="256" t="s">
        <v>5</v>
      </c>
      <c r="C296" s="256" t="s">
        <v>5</v>
      </c>
      <c r="D296" s="256" t="s">
        <v>5</v>
      </c>
      <c r="E296" s="256" t="s">
        <v>5</v>
      </c>
      <c r="F296" s="256" t="s">
        <v>5</v>
      </c>
      <c r="G296" s="256" t="s">
        <v>5</v>
      </c>
      <c r="H296" s="256" t="s">
        <v>5</v>
      </c>
      <c r="I296" s="256" t="s">
        <v>5</v>
      </c>
      <c r="J296" s="256" t="s">
        <v>5</v>
      </c>
      <c r="K296" s="256" t="s">
        <v>5</v>
      </c>
      <c r="L296" s="256" t="s">
        <v>5</v>
      </c>
      <c r="M296" s="256" t="s">
        <v>5</v>
      </c>
      <c r="N296" s="256" t="s">
        <v>5</v>
      </c>
      <c r="O296" s="256" t="s">
        <v>5</v>
      </c>
      <c r="P296" s="256" t="s">
        <v>5</v>
      </c>
      <c r="Q296" s="256" t="s">
        <v>5</v>
      </c>
      <c r="R296" s="256" t="s">
        <v>5</v>
      </c>
      <c r="S296" s="256" t="s">
        <v>5</v>
      </c>
      <c r="T296" s="256" t="s">
        <v>5</v>
      </c>
      <c r="U296" s="256" t="s">
        <v>5</v>
      </c>
      <c r="V296" s="256" t="s">
        <v>5</v>
      </c>
      <c r="W296" s="256" t="s">
        <v>5</v>
      </c>
      <c r="X296" s="256" t="s">
        <v>5</v>
      </c>
      <c r="Y296" s="256" t="s">
        <v>5</v>
      </c>
      <c r="Z296" s="256" t="s">
        <v>5</v>
      </c>
      <c r="AA296" s="256" t="s">
        <v>5</v>
      </c>
      <c r="AB296" s="256" t="s">
        <v>5</v>
      </c>
      <c r="AC296" s="256" t="s">
        <v>5</v>
      </c>
      <c r="AD296" s="256" t="s">
        <v>5</v>
      </c>
      <c r="AE296" s="256" t="s">
        <v>5</v>
      </c>
      <c r="AF296" s="256" t="s">
        <v>5</v>
      </c>
      <c r="AG296" s="256" t="s">
        <v>5</v>
      </c>
      <c r="AH296" s="256" t="s">
        <v>5</v>
      </c>
      <c r="AI296" s="256" t="s">
        <v>5</v>
      </c>
      <c r="AJ296" s="256" t="s">
        <v>5</v>
      </c>
      <c r="AK296" s="256" t="s">
        <v>5</v>
      </c>
      <c r="AL296" s="256" t="s">
        <v>5</v>
      </c>
      <c r="AM296" s="256" t="s">
        <v>5</v>
      </c>
      <c r="AN296" s="256" t="s">
        <v>5</v>
      </c>
      <c r="AO296" s="256" t="s">
        <v>5</v>
      </c>
      <c r="AP296" s="256" t="s">
        <v>5</v>
      </c>
      <c r="AQ296" s="256" t="s">
        <v>5</v>
      </c>
      <c r="AR296" s="256" t="s">
        <v>5</v>
      </c>
      <c r="AS296" s="256" t="s">
        <v>5</v>
      </c>
      <c r="AT296" s="256" t="s">
        <v>5</v>
      </c>
      <c r="AU296" s="256" t="s">
        <v>5</v>
      </c>
      <c r="AV296" s="256" t="s">
        <v>5</v>
      </c>
      <c r="AW296" s="256" t="s">
        <v>5</v>
      </c>
      <c r="AX296" s="256" t="s">
        <v>5</v>
      </c>
      <c r="AY296" s="256" t="s">
        <v>5</v>
      </c>
      <c r="AZ296" s="256" t="s">
        <v>5</v>
      </c>
      <c r="BA296" s="256" t="s">
        <v>5</v>
      </c>
      <c r="BB296" s="256" t="s">
        <v>5</v>
      </c>
      <c r="BC296" s="256" t="s">
        <v>5</v>
      </c>
      <c r="BD296" s="256" t="s">
        <v>5</v>
      </c>
      <c r="BE296" s="256" t="s">
        <v>5</v>
      </c>
      <c r="BF296" s="256" t="s">
        <v>5</v>
      </c>
    </row>
    <row r="297" spans="1:58" x14ac:dyDescent="0.3">
      <c r="A297" s="255" t="s">
        <v>852</v>
      </c>
      <c r="B297" s="257">
        <v>417861</v>
      </c>
      <c r="C297" s="257">
        <v>402826</v>
      </c>
      <c r="D297" s="257">
        <v>422430</v>
      </c>
      <c r="E297" s="257">
        <v>396183</v>
      </c>
      <c r="F297" s="257">
        <v>2695652</v>
      </c>
      <c r="G297" s="257">
        <v>2708775</v>
      </c>
      <c r="H297" s="257">
        <v>4379278</v>
      </c>
      <c r="I297" s="257">
        <v>4422095</v>
      </c>
      <c r="J297" s="257">
        <v>5390091</v>
      </c>
      <c r="K297" s="257">
        <v>5823076</v>
      </c>
      <c r="L297" s="257">
        <v>4366107</v>
      </c>
      <c r="M297" s="257">
        <v>4246531</v>
      </c>
      <c r="N297" s="257">
        <v>4256468</v>
      </c>
      <c r="O297" s="257">
        <v>4217434</v>
      </c>
      <c r="P297" s="257">
        <v>4179763</v>
      </c>
      <c r="Q297" s="257">
        <v>3171132</v>
      </c>
      <c r="R297" s="257">
        <v>1805279</v>
      </c>
      <c r="S297" s="257">
        <v>1942225</v>
      </c>
      <c r="T297" s="257">
        <v>1931284</v>
      </c>
      <c r="U297" s="257">
        <v>1981903</v>
      </c>
      <c r="V297" s="257">
        <v>1061138</v>
      </c>
      <c r="W297" s="257">
        <v>1133728</v>
      </c>
      <c r="X297" s="257">
        <v>1043268</v>
      </c>
      <c r="Y297" s="257">
        <v>1233805</v>
      </c>
      <c r="Z297" s="257">
        <v>1177037</v>
      </c>
      <c r="AA297" s="257">
        <v>1098993</v>
      </c>
      <c r="AB297" s="257">
        <v>998456</v>
      </c>
      <c r="AC297" s="257">
        <v>1087135</v>
      </c>
      <c r="AD297" s="257">
        <v>1082369</v>
      </c>
      <c r="AE297" s="257">
        <v>1400312</v>
      </c>
      <c r="AF297" s="257">
        <v>1379460</v>
      </c>
      <c r="AG297" s="257">
        <v>1377661</v>
      </c>
      <c r="AH297" s="257">
        <v>1251764</v>
      </c>
      <c r="AI297" s="257">
        <v>1228426</v>
      </c>
      <c r="AJ297" s="257">
        <v>1459604</v>
      </c>
      <c r="AK297" s="257">
        <v>1279999</v>
      </c>
      <c r="AL297" s="257">
        <v>1537063</v>
      </c>
      <c r="AM297" s="257">
        <v>4332603</v>
      </c>
      <c r="AN297" s="257">
        <v>4387144</v>
      </c>
      <c r="AO297" s="257">
        <v>4596221</v>
      </c>
      <c r="AP297" s="257">
        <v>5489751</v>
      </c>
      <c r="AQ297" s="257">
        <v>6984388</v>
      </c>
      <c r="AR297" s="257">
        <v>6660586</v>
      </c>
      <c r="AS297" s="257">
        <v>7055431</v>
      </c>
      <c r="AT297" s="257">
        <v>6792833</v>
      </c>
      <c r="AU297" s="257">
        <v>9341748</v>
      </c>
      <c r="AV297" s="257">
        <v>10504500</v>
      </c>
      <c r="AW297" s="257">
        <v>11445166</v>
      </c>
      <c r="AX297" s="257">
        <v>12221416</v>
      </c>
      <c r="AY297" s="257">
        <v>12862921</v>
      </c>
      <c r="AZ297" s="257">
        <v>16292271</v>
      </c>
      <c r="BA297" s="257">
        <v>19920152</v>
      </c>
      <c r="BB297" s="257">
        <v>20302520</v>
      </c>
      <c r="BC297" s="257">
        <v>25623115</v>
      </c>
      <c r="BD297" s="257">
        <v>25991952</v>
      </c>
      <c r="BE297" s="257">
        <v>28521683</v>
      </c>
      <c r="BF297" s="257">
        <v>28310932</v>
      </c>
    </row>
    <row r="298" spans="1:58" x14ac:dyDescent="0.3">
      <c r="A298" s="258" t="s">
        <v>853</v>
      </c>
      <c r="B298" s="259">
        <v>10995</v>
      </c>
      <c r="C298" s="259">
        <v>7262</v>
      </c>
      <c r="D298" s="259">
        <v>20110</v>
      </c>
      <c r="E298" s="259">
        <v>11689</v>
      </c>
      <c r="F298" s="259">
        <v>35195</v>
      </c>
      <c r="G298" s="259">
        <v>55725</v>
      </c>
      <c r="H298" s="259">
        <v>43197</v>
      </c>
      <c r="I298" s="259">
        <v>66323</v>
      </c>
      <c r="J298" s="259">
        <v>595510</v>
      </c>
      <c r="K298" s="259">
        <v>851816</v>
      </c>
      <c r="L298" s="259">
        <v>56635</v>
      </c>
      <c r="M298" s="259">
        <v>113571</v>
      </c>
      <c r="N298" s="259">
        <v>164006</v>
      </c>
      <c r="O298" s="259">
        <v>215770</v>
      </c>
      <c r="P298" s="259">
        <v>355847</v>
      </c>
      <c r="Q298" s="259">
        <v>379543</v>
      </c>
      <c r="R298" s="259">
        <v>223804</v>
      </c>
      <c r="S298" s="259">
        <v>224016</v>
      </c>
      <c r="T298" s="259">
        <v>248513</v>
      </c>
      <c r="U298" s="259">
        <v>231711</v>
      </c>
      <c r="V298" s="259">
        <v>168321</v>
      </c>
      <c r="W298" s="259">
        <v>200933</v>
      </c>
      <c r="X298" s="259">
        <v>124702</v>
      </c>
      <c r="Y298" s="259">
        <v>185703</v>
      </c>
      <c r="Z298" s="259">
        <v>85423</v>
      </c>
      <c r="AA298" s="259">
        <v>106178</v>
      </c>
      <c r="AB298" s="259">
        <v>74749</v>
      </c>
      <c r="AC298" s="259">
        <v>58346</v>
      </c>
      <c r="AD298" s="259">
        <v>79620</v>
      </c>
      <c r="AE298" s="259">
        <v>252578</v>
      </c>
      <c r="AF298" s="259">
        <v>261714</v>
      </c>
      <c r="AG298" s="259">
        <v>197824</v>
      </c>
      <c r="AH298" s="259">
        <v>216852</v>
      </c>
      <c r="AI298" s="259">
        <v>187516</v>
      </c>
      <c r="AJ298" s="259">
        <v>348923</v>
      </c>
      <c r="AK298" s="259">
        <v>167482</v>
      </c>
      <c r="AL298" s="259">
        <v>370986</v>
      </c>
      <c r="AM298" s="259">
        <v>922201</v>
      </c>
      <c r="AN298" s="259">
        <v>879977</v>
      </c>
      <c r="AO298" s="259">
        <v>1137572</v>
      </c>
      <c r="AP298" s="259">
        <v>1669783</v>
      </c>
      <c r="AQ298" s="259">
        <v>2322377</v>
      </c>
      <c r="AR298" s="259">
        <v>1907633</v>
      </c>
      <c r="AS298" s="259">
        <v>2050218</v>
      </c>
      <c r="AT298" s="259">
        <v>2149449</v>
      </c>
      <c r="AU298" s="259">
        <v>2354059</v>
      </c>
      <c r="AV298" s="259">
        <v>905094</v>
      </c>
      <c r="AW298" s="259">
        <v>1225154</v>
      </c>
      <c r="AX298" s="259">
        <v>1085997</v>
      </c>
      <c r="AY298" s="259">
        <v>904949</v>
      </c>
      <c r="AZ298" s="259">
        <v>972762</v>
      </c>
      <c r="BA298" s="259">
        <v>1422362</v>
      </c>
      <c r="BB298" s="259">
        <v>1387739</v>
      </c>
      <c r="BC298" s="259">
        <v>3177777</v>
      </c>
      <c r="BD298" s="259">
        <v>4067412</v>
      </c>
      <c r="BE298" s="259">
        <v>3857691</v>
      </c>
      <c r="BF298" s="259">
        <v>3463811</v>
      </c>
    </row>
    <row r="299" spans="1:58" x14ac:dyDescent="0.3">
      <c r="A299" s="260" t="s">
        <v>866</v>
      </c>
      <c r="B299" s="262">
        <v>0</v>
      </c>
      <c r="C299" s="262">
        <v>0</v>
      </c>
      <c r="D299" s="262">
        <v>0</v>
      </c>
      <c r="E299" s="262">
        <v>0</v>
      </c>
      <c r="F299" s="262">
        <v>350</v>
      </c>
      <c r="G299" s="262">
        <v>0</v>
      </c>
      <c r="H299" s="262">
        <v>0</v>
      </c>
      <c r="I299" s="262">
        <v>0</v>
      </c>
      <c r="J299" s="262">
        <v>0</v>
      </c>
      <c r="K299" s="261" t="s">
        <v>792</v>
      </c>
      <c r="L299" s="261" t="s">
        <v>792</v>
      </c>
      <c r="M299" s="261" t="s">
        <v>792</v>
      </c>
      <c r="N299" s="261" t="s">
        <v>792</v>
      </c>
      <c r="O299" s="261" t="s">
        <v>792</v>
      </c>
      <c r="P299" s="261" t="s">
        <v>792</v>
      </c>
      <c r="Q299" s="261" t="s">
        <v>792</v>
      </c>
      <c r="R299" s="262">
        <v>70380</v>
      </c>
      <c r="S299" s="262">
        <v>0</v>
      </c>
      <c r="T299" s="262">
        <v>0</v>
      </c>
      <c r="U299" s="262">
        <v>0</v>
      </c>
      <c r="V299" s="262">
        <v>0</v>
      </c>
      <c r="W299" s="262">
        <v>0</v>
      </c>
      <c r="X299" s="262">
        <v>0</v>
      </c>
      <c r="Y299" s="262">
        <v>0</v>
      </c>
      <c r="Z299" s="262">
        <v>0</v>
      </c>
      <c r="AA299" s="262">
        <v>0</v>
      </c>
      <c r="AB299" s="262">
        <v>0</v>
      </c>
      <c r="AC299" s="262">
        <v>0</v>
      </c>
      <c r="AD299" s="262">
        <v>0</v>
      </c>
      <c r="AE299" s="262">
        <v>123855</v>
      </c>
      <c r="AF299" s="262">
        <v>124328</v>
      </c>
      <c r="AG299" s="262">
        <v>71272</v>
      </c>
      <c r="AH299" s="262">
        <v>75011</v>
      </c>
      <c r="AI299" s="262">
        <v>75437</v>
      </c>
      <c r="AJ299" s="262">
        <v>199166</v>
      </c>
      <c r="AK299" s="262">
        <v>0</v>
      </c>
      <c r="AL299" s="262">
        <v>222437</v>
      </c>
      <c r="AM299" s="262">
        <v>482523</v>
      </c>
      <c r="AN299" s="262">
        <v>566985</v>
      </c>
      <c r="AO299" s="262">
        <v>848109</v>
      </c>
      <c r="AP299" s="262">
        <v>1224306</v>
      </c>
      <c r="AQ299" s="262">
        <v>1821008</v>
      </c>
      <c r="AR299" s="262">
        <v>1373731</v>
      </c>
      <c r="AS299" s="262">
        <v>1355327</v>
      </c>
      <c r="AT299" s="262">
        <v>1519966</v>
      </c>
      <c r="AU299" s="262">
        <v>1882524</v>
      </c>
      <c r="AV299" s="262">
        <v>467184</v>
      </c>
      <c r="AW299" s="262">
        <v>200006</v>
      </c>
      <c r="AX299" s="262">
        <v>553</v>
      </c>
      <c r="AY299" s="262">
        <v>46928</v>
      </c>
      <c r="AZ299" s="262">
        <v>25111</v>
      </c>
      <c r="BA299" s="262">
        <v>451208</v>
      </c>
      <c r="BB299" s="262">
        <v>393258</v>
      </c>
      <c r="BC299" s="262">
        <v>1654333</v>
      </c>
      <c r="BD299" s="262">
        <v>2206310</v>
      </c>
      <c r="BE299" s="262">
        <v>1978629</v>
      </c>
      <c r="BF299" s="262">
        <v>1212632</v>
      </c>
    </row>
    <row r="300" spans="1:58" x14ac:dyDescent="0.3">
      <c r="A300" s="260" t="s">
        <v>869</v>
      </c>
      <c r="B300" s="262">
        <v>0</v>
      </c>
      <c r="C300" s="262">
        <v>0</v>
      </c>
      <c r="D300" s="262">
        <v>0</v>
      </c>
      <c r="E300" s="262">
        <v>0</v>
      </c>
      <c r="F300" s="262">
        <v>0</v>
      </c>
      <c r="G300" s="262">
        <v>0</v>
      </c>
      <c r="H300" s="262">
        <v>0</v>
      </c>
      <c r="I300" s="262">
        <v>0</v>
      </c>
      <c r="J300" s="262">
        <v>0</v>
      </c>
      <c r="K300" s="261" t="s">
        <v>792</v>
      </c>
      <c r="L300" s="261" t="s">
        <v>792</v>
      </c>
      <c r="M300" s="261" t="s">
        <v>792</v>
      </c>
      <c r="N300" s="261" t="s">
        <v>792</v>
      </c>
      <c r="O300" s="261" t="s">
        <v>792</v>
      </c>
      <c r="P300" s="261" t="s">
        <v>792</v>
      </c>
      <c r="Q300" s="261" t="s">
        <v>792</v>
      </c>
      <c r="R300" s="262">
        <v>0</v>
      </c>
      <c r="S300" s="262">
        <v>0</v>
      </c>
      <c r="T300" s="262">
        <v>0</v>
      </c>
      <c r="U300" s="262">
        <v>0</v>
      </c>
      <c r="V300" s="262">
        <v>0</v>
      </c>
      <c r="W300" s="262">
        <v>2550</v>
      </c>
      <c r="X300" s="262">
        <v>1727</v>
      </c>
      <c r="Y300" s="262">
        <v>4466</v>
      </c>
      <c r="Z300" s="262">
        <v>664</v>
      </c>
      <c r="AA300" s="262">
        <v>1604</v>
      </c>
      <c r="AB300" s="262">
        <v>706</v>
      </c>
      <c r="AC300" s="262">
        <v>1706</v>
      </c>
      <c r="AD300" s="262">
        <v>688</v>
      </c>
      <c r="AE300" s="262">
        <v>42290</v>
      </c>
      <c r="AF300" s="262">
        <v>41278</v>
      </c>
      <c r="AG300" s="262">
        <v>21491</v>
      </c>
      <c r="AH300" s="262">
        <v>21621</v>
      </c>
      <c r="AI300" s="262">
        <v>805</v>
      </c>
      <c r="AJ300" s="262">
        <v>318</v>
      </c>
      <c r="AK300" s="262">
        <v>771</v>
      </c>
      <c r="AL300" s="262">
        <v>306</v>
      </c>
      <c r="AM300" s="262">
        <v>24767</v>
      </c>
      <c r="AN300" s="262">
        <v>40377</v>
      </c>
      <c r="AO300" s="262">
        <v>40755</v>
      </c>
      <c r="AP300" s="262">
        <v>0</v>
      </c>
      <c r="AQ300" s="262">
        <v>0</v>
      </c>
      <c r="AR300" s="262">
        <v>0</v>
      </c>
      <c r="AS300" s="262">
        <v>0</v>
      </c>
      <c r="AT300" s="262">
        <v>0</v>
      </c>
      <c r="AU300" s="262">
        <v>0</v>
      </c>
      <c r="AV300" s="262">
        <v>0</v>
      </c>
      <c r="AW300" s="262">
        <v>0</v>
      </c>
      <c r="AX300" s="262">
        <v>0</v>
      </c>
      <c r="AY300" s="262">
        <v>0</v>
      </c>
      <c r="AZ300" s="262">
        <v>0</v>
      </c>
      <c r="BA300" s="262">
        <v>7099</v>
      </c>
      <c r="BB300" s="262">
        <v>40514</v>
      </c>
      <c r="BC300" s="262">
        <v>7694</v>
      </c>
      <c r="BD300" s="262">
        <v>38857</v>
      </c>
      <c r="BE300" s="262">
        <v>8040</v>
      </c>
      <c r="BF300" s="262">
        <v>39430</v>
      </c>
    </row>
    <row r="301" spans="1:58" x14ac:dyDescent="0.3">
      <c r="A301" s="260" t="s">
        <v>857</v>
      </c>
      <c r="B301" s="262">
        <v>156</v>
      </c>
      <c r="C301" s="262">
        <v>1159</v>
      </c>
      <c r="D301" s="262">
        <v>11285</v>
      </c>
      <c r="E301" s="262">
        <v>2593</v>
      </c>
      <c r="F301" s="262">
        <v>7876</v>
      </c>
      <c r="G301" s="262">
        <v>22303</v>
      </c>
      <c r="H301" s="262">
        <v>11477</v>
      </c>
      <c r="I301" s="262">
        <v>46206</v>
      </c>
      <c r="J301" s="262">
        <v>54342</v>
      </c>
      <c r="K301" s="262">
        <v>75447</v>
      </c>
      <c r="L301" s="262">
        <v>30285</v>
      </c>
      <c r="M301" s="262">
        <v>69906</v>
      </c>
      <c r="N301" s="262">
        <v>101487</v>
      </c>
      <c r="O301" s="262">
        <v>120715</v>
      </c>
      <c r="P301" s="262">
        <v>193143</v>
      </c>
      <c r="Q301" s="262">
        <v>196047</v>
      </c>
      <c r="R301" s="262">
        <v>63362</v>
      </c>
      <c r="S301" s="262">
        <v>175686</v>
      </c>
      <c r="T301" s="262">
        <v>105180</v>
      </c>
      <c r="U301" s="262">
        <v>109628</v>
      </c>
      <c r="V301" s="262">
        <v>63217</v>
      </c>
      <c r="W301" s="262">
        <v>68683</v>
      </c>
      <c r="X301" s="262">
        <v>40210</v>
      </c>
      <c r="Y301" s="262">
        <v>63789</v>
      </c>
      <c r="Z301" s="262">
        <v>52469</v>
      </c>
      <c r="AA301" s="262">
        <v>72292</v>
      </c>
      <c r="AB301" s="262">
        <v>49348</v>
      </c>
      <c r="AC301" s="262">
        <v>32836</v>
      </c>
      <c r="AD301" s="262">
        <v>50176</v>
      </c>
      <c r="AE301" s="262">
        <v>51068</v>
      </c>
      <c r="AF301" s="262">
        <v>53993</v>
      </c>
      <c r="AG301" s="262">
        <v>64368</v>
      </c>
      <c r="AH301" s="262">
        <v>70536</v>
      </c>
      <c r="AI301" s="262">
        <v>72888</v>
      </c>
      <c r="AJ301" s="262">
        <v>91620</v>
      </c>
      <c r="AK301" s="262">
        <v>92833</v>
      </c>
      <c r="AL301" s="262">
        <v>73258</v>
      </c>
      <c r="AM301" s="262">
        <v>127426</v>
      </c>
      <c r="AN301" s="262">
        <v>126570</v>
      </c>
      <c r="AO301" s="262">
        <v>129731</v>
      </c>
      <c r="AP301" s="262">
        <v>87232</v>
      </c>
      <c r="AQ301" s="262">
        <v>110976</v>
      </c>
      <c r="AR301" s="262">
        <v>139859</v>
      </c>
      <c r="AS301" s="262">
        <v>281408</v>
      </c>
      <c r="AT301" s="262">
        <v>236889</v>
      </c>
      <c r="AU301" s="262">
        <v>119524</v>
      </c>
      <c r="AV301" s="262">
        <v>152400</v>
      </c>
      <c r="AW301" s="262">
        <v>204816</v>
      </c>
      <c r="AX301" s="262">
        <v>292204</v>
      </c>
      <c r="AY301" s="262">
        <v>262789</v>
      </c>
      <c r="AZ301" s="262">
        <v>316734</v>
      </c>
      <c r="BA301" s="262">
        <v>334084</v>
      </c>
      <c r="BB301" s="262">
        <v>565926</v>
      </c>
      <c r="BC301" s="262">
        <v>605633</v>
      </c>
      <c r="BD301" s="262">
        <v>757359</v>
      </c>
      <c r="BE301" s="262">
        <v>638038</v>
      </c>
      <c r="BF301" s="262">
        <v>834778</v>
      </c>
    </row>
    <row r="302" spans="1:58" x14ac:dyDescent="0.3">
      <c r="A302" s="260" t="s">
        <v>1040</v>
      </c>
      <c r="B302" s="262">
        <v>8502</v>
      </c>
      <c r="C302" s="262">
        <v>3426</v>
      </c>
      <c r="D302" s="262">
        <v>3732</v>
      </c>
      <c r="E302" s="262">
        <v>4541</v>
      </c>
      <c r="F302" s="261" t="s">
        <v>792</v>
      </c>
      <c r="G302" s="261" t="s">
        <v>792</v>
      </c>
      <c r="H302" s="261" t="s">
        <v>792</v>
      </c>
      <c r="I302" s="261" t="s">
        <v>792</v>
      </c>
      <c r="J302" s="261" t="s">
        <v>792</v>
      </c>
      <c r="K302" s="261" t="s">
        <v>792</v>
      </c>
      <c r="L302" s="261" t="s">
        <v>792</v>
      </c>
      <c r="M302" s="261" t="s">
        <v>792</v>
      </c>
      <c r="N302" s="261" t="s">
        <v>792</v>
      </c>
      <c r="O302" s="261" t="s">
        <v>792</v>
      </c>
      <c r="P302" s="261" t="s">
        <v>792</v>
      </c>
      <c r="Q302" s="261" t="s">
        <v>792</v>
      </c>
      <c r="R302" s="261" t="s">
        <v>792</v>
      </c>
      <c r="S302" s="261" t="s">
        <v>792</v>
      </c>
      <c r="T302" s="261" t="s">
        <v>792</v>
      </c>
      <c r="U302" s="261" t="s">
        <v>792</v>
      </c>
      <c r="V302" s="261" t="s">
        <v>792</v>
      </c>
      <c r="W302" s="261" t="s">
        <v>792</v>
      </c>
      <c r="X302" s="261" t="s">
        <v>792</v>
      </c>
      <c r="Y302" s="261" t="s">
        <v>792</v>
      </c>
      <c r="Z302" s="261" t="s">
        <v>792</v>
      </c>
      <c r="AA302" s="261" t="s">
        <v>792</v>
      </c>
      <c r="AB302" s="261" t="s">
        <v>792</v>
      </c>
      <c r="AC302" s="261" t="s">
        <v>792</v>
      </c>
      <c r="AD302" s="261" t="s">
        <v>792</v>
      </c>
      <c r="AE302" s="261" t="s">
        <v>792</v>
      </c>
      <c r="AF302" s="261" t="s">
        <v>792</v>
      </c>
      <c r="AG302" s="261" t="s">
        <v>792</v>
      </c>
      <c r="AH302" s="261" t="s">
        <v>792</v>
      </c>
      <c r="AI302" s="261" t="s">
        <v>792</v>
      </c>
      <c r="AJ302" s="261" t="s">
        <v>792</v>
      </c>
      <c r="AK302" s="261" t="s">
        <v>792</v>
      </c>
      <c r="AL302" s="261" t="s">
        <v>792</v>
      </c>
      <c r="AM302" s="261" t="s">
        <v>792</v>
      </c>
      <c r="AN302" s="261" t="s">
        <v>792</v>
      </c>
      <c r="AO302" s="261" t="s">
        <v>792</v>
      </c>
      <c r="AP302" s="261" t="s">
        <v>792</v>
      </c>
      <c r="AQ302" s="261" t="s">
        <v>792</v>
      </c>
      <c r="AR302" s="261" t="s">
        <v>792</v>
      </c>
      <c r="AS302" s="261" t="s">
        <v>792</v>
      </c>
      <c r="AT302" s="261" t="s">
        <v>792</v>
      </c>
      <c r="AU302" s="261" t="s">
        <v>792</v>
      </c>
      <c r="AV302" s="261" t="s">
        <v>792</v>
      </c>
      <c r="AW302" s="261" t="s">
        <v>792</v>
      </c>
      <c r="AX302" s="261" t="s">
        <v>792</v>
      </c>
      <c r="AY302" s="261" t="s">
        <v>792</v>
      </c>
      <c r="AZ302" s="261" t="s">
        <v>792</v>
      </c>
      <c r="BA302" s="261" t="s">
        <v>792</v>
      </c>
      <c r="BB302" s="261" t="s">
        <v>792</v>
      </c>
      <c r="BC302" s="261" t="s">
        <v>792</v>
      </c>
      <c r="BD302" s="261" t="s">
        <v>792</v>
      </c>
      <c r="BE302" s="261" t="s">
        <v>792</v>
      </c>
      <c r="BF302" s="261" t="s">
        <v>792</v>
      </c>
    </row>
    <row r="303" spans="1:58" x14ac:dyDescent="0.3">
      <c r="A303" s="260" t="s">
        <v>878</v>
      </c>
      <c r="B303" s="262">
        <v>0</v>
      </c>
      <c r="C303" s="262">
        <v>0</v>
      </c>
      <c r="D303" s="262">
        <v>0</v>
      </c>
      <c r="E303" s="262">
        <v>0</v>
      </c>
      <c r="F303" s="262">
        <v>0</v>
      </c>
      <c r="G303" s="262">
        <v>0</v>
      </c>
      <c r="H303" s="262">
        <v>0</v>
      </c>
      <c r="I303" s="262">
        <v>0</v>
      </c>
      <c r="J303" s="262">
        <v>0</v>
      </c>
      <c r="K303" s="262">
        <v>0</v>
      </c>
      <c r="L303" s="262">
        <v>0</v>
      </c>
      <c r="M303" s="262">
        <v>0</v>
      </c>
      <c r="N303" s="262">
        <v>0</v>
      </c>
      <c r="O303" s="262">
        <v>0</v>
      </c>
      <c r="P303" s="262">
        <v>0</v>
      </c>
      <c r="Q303" s="262">
        <v>0</v>
      </c>
      <c r="R303" s="262">
        <v>0</v>
      </c>
      <c r="S303" s="262">
        <v>0</v>
      </c>
      <c r="T303" s="262">
        <v>0</v>
      </c>
      <c r="U303" s="262">
        <v>0</v>
      </c>
      <c r="V303" s="262">
        <v>0</v>
      </c>
      <c r="W303" s="262">
        <v>0</v>
      </c>
      <c r="X303" s="262">
        <v>0</v>
      </c>
      <c r="Y303" s="262">
        <v>0</v>
      </c>
      <c r="Z303" s="262">
        <v>0</v>
      </c>
      <c r="AA303" s="262">
        <v>0</v>
      </c>
      <c r="AB303" s="262">
        <v>0</v>
      </c>
      <c r="AC303" s="262">
        <v>0</v>
      </c>
      <c r="AD303" s="262">
        <v>0</v>
      </c>
      <c r="AE303" s="262">
        <v>0</v>
      </c>
      <c r="AF303" s="262">
        <v>0</v>
      </c>
      <c r="AG303" s="262">
        <v>0</v>
      </c>
      <c r="AH303" s="262">
        <v>0</v>
      </c>
      <c r="AI303" s="262">
        <v>0</v>
      </c>
      <c r="AJ303" s="262">
        <v>0</v>
      </c>
      <c r="AK303" s="262">
        <v>0</v>
      </c>
      <c r="AL303" s="262">
        <v>0</v>
      </c>
      <c r="AM303" s="262">
        <v>0</v>
      </c>
      <c r="AN303" s="262">
        <v>0</v>
      </c>
      <c r="AO303" s="262">
        <v>0</v>
      </c>
      <c r="AP303" s="262">
        <v>0</v>
      </c>
      <c r="AQ303" s="262">
        <v>0</v>
      </c>
      <c r="AR303" s="262">
        <v>0</v>
      </c>
      <c r="AS303" s="262">
        <v>0</v>
      </c>
      <c r="AT303" s="262">
        <v>0</v>
      </c>
      <c r="AU303" s="262">
        <v>0</v>
      </c>
      <c r="AV303" s="262">
        <v>0</v>
      </c>
      <c r="AW303" s="262">
        <v>0</v>
      </c>
      <c r="AX303" s="262">
        <v>0</v>
      </c>
      <c r="AY303" s="262">
        <v>0</v>
      </c>
      <c r="AZ303" s="262">
        <v>0</v>
      </c>
      <c r="BA303" s="262">
        <v>0</v>
      </c>
      <c r="BB303" s="262">
        <v>0</v>
      </c>
      <c r="BC303" s="262">
        <v>0</v>
      </c>
      <c r="BD303" s="262">
        <v>0</v>
      </c>
      <c r="BE303" s="262">
        <v>0</v>
      </c>
      <c r="BF303" s="262">
        <v>0</v>
      </c>
    </row>
    <row r="304" spans="1:58" x14ac:dyDescent="0.3">
      <c r="A304" s="260" t="s">
        <v>881</v>
      </c>
      <c r="B304" s="262">
        <v>0</v>
      </c>
      <c r="C304" s="262">
        <v>0</v>
      </c>
      <c r="D304" s="262">
        <v>0</v>
      </c>
      <c r="E304" s="262">
        <v>0</v>
      </c>
      <c r="F304" s="262">
        <v>0</v>
      </c>
      <c r="G304" s="262">
        <v>0</v>
      </c>
      <c r="H304" s="262">
        <v>0</v>
      </c>
      <c r="I304" s="262">
        <v>0</v>
      </c>
      <c r="J304" s="262">
        <v>0</v>
      </c>
      <c r="K304" s="262">
        <v>0</v>
      </c>
      <c r="L304" s="262">
        <v>0</v>
      </c>
      <c r="M304" s="262">
        <v>0</v>
      </c>
      <c r="N304" s="262">
        <v>0</v>
      </c>
      <c r="O304" s="262">
        <v>0</v>
      </c>
      <c r="P304" s="262">
        <v>0</v>
      </c>
      <c r="Q304" s="262">
        <v>0</v>
      </c>
      <c r="R304" s="262">
        <v>0</v>
      </c>
      <c r="S304" s="262">
        <v>0</v>
      </c>
      <c r="T304" s="262">
        <v>0</v>
      </c>
      <c r="U304" s="262">
        <v>0</v>
      </c>
      <c r="V304" s="262">
        <v>0</v>
      </c>
      <c r="W304" s="262">
        <v>0</v>
      </c>
      <c r="X304" s="262">
        <v>0</v>
      </c>
      <c r="Y304" s="262">
        <v>0</v>
      </c>
      <c r="Z304" s="262">
        <v>0</v>
      </c>
      <c r="AA304" s="262">
        <v>0</v>
      </c>
      <c r="AB304" s="262">
        <v>0</v>
      </c>
      <c r="AC304" s="262">
        <v>0</v>
      </c>
      <c r="AD304" s="262">
        <v>0</v>
      </c>
      <c r="AE304" s="262">
        <v>0</v>
      </c>
      <c r="AF304" s="262">
        <v>0</v>
      </c>
      <c r="AG304" s="262">
        <v>0</v>
      </c>
      <c r="AH304" s="262">
        <v>0</v>
      </c>
      <c r="AI304" s="262">
        <v>0</v>
      </c>
      <c r="AJ304" s="262">
        <v>0</v>
      </c>
      <c r="AK304" s="262">
        <v>0</v>
      </c>
      <c r="AL304" s="262">
        <v>0</v>
      </c>
      <c r="AM304" s="262">
        <v>0</v>
      </c>
      <c r="AN304" s="262">
        <v>0</v>
      </c>
      <c r="AO304" s="262">
        <v>0</v>
      </c>
      <c r="AP304" s="262">
        <v>0</v>
      </c>
      <c r="AQ304" s="262">
        <v>0</v>
      </c>
      <c r="AR304" s="262">
        <v>0</v>
      </c>
      <c r="AS304" s="262">
        <v>0</v>
      </c>
      <c r="AT304" s="262">
        <v>0</v>
      </c>
      <c r="AU304" s="262">
        <v>0</v>
      </c>
      <c r="AV304" s="262">
        <v>0</v>
      </c>
      <c r="AW304" s="262">
        <v>0</v>
      </c>
      <c r="AX304" s="262">
        <v>0</v>
      </c>
      <c r="AY304" s="262">
        <v>0</v>
      </c>
      <c r="AZ304" s="262">
        <v>0</v>
      </c>
      <c r="BA304" s="262">
        <v>0</v>
      </c>
      <c r="BB304" s="262">
        <v>0</v>
      </c>
      <c r="BC304" s="262">
        <v>0</v>
      </c>
      <c r="BD304" s="262">
        <v>0</v>
      </c>
      <c r="BE304" s="262">
        <v>0</v>
      </c>
      <c r="BF304" s="262">
        <v>0</v>
      </c>
    </row>
    <row r="305" spans="1:58" x14ac:dyDescent="0.3">
      <c r="A305" s="260" t="s">
        <v>1041</v>
      </c>
      <c r="B305" s="262">
        <v>0</v>
      </c>
      <c r="C305" s="262">
        <v>0</v>
      </c>
      <c r="D305" s="262">
        <v>0</v>
      </c>
      <c r="E305" s="262">
        <v>0</v>
      </c>
      <c r="F305" s="261" t="s">
        <v>792</v>
      </c>
      <c r="G305" s="261" t="s">
        <v>792</v>
      </c>
      <c r="H305" s="261" t="s">
        <v>792</v>
      </c>
      <c r="I305" s="261" t="s">
        <v>792</v>
      </c>
      <c r="J305" s="261" t="s">
        <v>792</v>
      </c>
      <c r="K305" s="261" t="s">
        <v>792</v>
      </c>
      <c r="L305" s="261" t="s">
        <v>792</v>
      </c>
      <c r="M305" s="261" t="s">
        <v>792</v>
      </c>
      <c r="N305" s="261" t="s">
        <v>792</v>
      </c>
      <c r="O305" s="261" t="s">
        <v>792</v>
      </c>
      <c r="P305" s="261" t="s">
        <v>792</v>
      </c>
      <c r="Q305" s="261" t="s">
        <v>792</v>
      </c>
      <c r="R305" s="261" t="s">
        <v>792</v>
      </c>
      <c r="S305" s="261" t="s">
        <v>792</v>
      </c>
      <c r="T305" s="261" t="s">
        <v>792</v>
      </c>
      <c r="U305" s="261" t="s">
        <v>792</v>
      </c>
      <c r="V305" s="261" t="s">
        <v>792</v>
      </c>
      <c r="W305" s="261" t="s">
        <v>792</v>
      </c>
      <c r="X305" s="261" t="s">
        <v>792</v>
      </c>
      <c r="Y305" s="261" t="s">
        <v>792</v>
      </c>
      <c r="Z305" s="261" t="s">
        <v>792</v>
      </c>
      <c r="AA305" s="261" t="s">
        <v>792</v>
      </c>
      <c r="AB305" s="261" t="s">
        <v>792</v>
      </c>
      <c r="AC305" s="261" t="s">
        <v>792</v>
      </c>
      <c r="AD305" s="261" t="s">
        <v>792</v>
      </c>
      <c r="AE305" s="261" t="s">
        <v>792</v>
      </c>
      <c r="AF305" s="261" t="s">
        <v>792</v>
      </c>
      <c r="AG305" s="261" t="s">
        <v>792</v>
      </c>
      <c r="AH305" s="261" t="s">
        <v>792</v>
      </c>
      <c r="AI305" s="261" t="s">
        <v>792</v>
      </c>
      <c r="AJ305" s="261" t="s">
        <v>792</v>
      </c>
      <c r="AK305" s="261" t="s">
        <v>792</v>
      </c>
      <c r="AL305" s="261" t="s">
        <v>792</v>
      </c>
      <c r="AM305" s="261" t="s">
        <v>792</v>
      </c>
      <c r="AN305" s="261" t="s">
        <v>792</v>
      </c>
      <c r="AO305" s="261" t="s">
        <v>792</v>
      </c>
      <c r="AP305" s="261" t="s">
        <v>792</v>
      </c>
      <c r="AQ305" s="261" t="s">
        <v>792</v>
      </c>
      <c r="AR305" s="261" t="s">
        <v>792</v>
      </c>
      <c r="AS305" s="261" t="s">
        <v>792</v>
      </c>
      <c r="AT305" s="261" t="s">
        <v>792</v>
      </c>
      <c r="AU305" s="261" t="s">
        <v>792</v>
      </c>
      <c r="AV305" s="261" t="s">
        <v>792</v>
      </c>
      <c r="AW305" s="261" t="s">
        <v>792</v>
      </c>
      <c r="AX305" s="261" t="s">
        <v>792</v>
      </c>
      <c r="AY305" s="261" t="s">
        <v>792</v>
      </c>
      <c r="AZ305" s="261" t="s">
        <v>792</v>
      </c>
      <c r="BA305" s="261" t="s">
        <v>792</v>
      </c>
      <c r="BB305" s="261" t="s">
        <v>792</v>
      </c>
      <c r="BC305" s="261" t="s">
        <v>792</v>
      </c>
      <c r="BD305" s="261" t="s">
        <v>792</v>
      </c>
      <c r="BE305" s="261" t="s">
        <v>792</v>
      </c>
      <c r="BF305" s="261" t="s">
        <v>792</v>
      </c>
    </row>
    <row r="306" spans="1:58" x14ac:dyDescent="0.3">
      <c r="A306" s="260" t="s">
        <v>1042</v>
      </c>
      <c r="B306" s="262">
        <v>2337</v>
      </c>
      <c r="C306" s="262">
        <v>2677</v>
      </c>
      <c r="D306" s="262">
        <v>5093</v>
      </c>
      <c r="E306" s="262">
        <v>4555</v>
      </c>
      <c r="F306" s="261" t="s">
        <v>792</v>
      </c>
      <c r="G306" s="261" t="s">
        <v>792</v>
      </c>
      <c r="H306" s="261" t="s">
        <v>792</v>
      </c>
      <c r="I306" s="261" t="s">
        <v>792</v>
      </c>
      <c r="J306" s="261" t="s">
        <v>792</v>
      </c>
      <c r="K306" s="261" t="s">
        <v>792</v>
      </c>
      <c r="L306" s="261" t="s">
        <v>792</v>
      </c>
      <c r="M306" s="261" t="s">
        <v>792</v>
      </c>
      <c r="N306" s="261" t="s">
        <v>792</v>
      </c>
      <c r="O306" s="261" t="s">
        <v>792</v>
      </c>
      <c r="P306" s="261" t="s">
        <v>792</v>
      </c>
      <c r="Q306" s="261" t="s">
        <v>792</v>
      </c>
      <c r="R306" s="261" t="s">
        <v>792</v>
      </c>
      <c r="S306" s="261" t="s">
        <v>792</v>
      </c>
      <c r="T306" s="261" t="s">
        <v>792</v>
      </c>
      <c r="U306" s="261" t="s">
        <v>792</v>
      </c>
      <c r="V306" s="261" t="s">
        <v>792</v>
      </c>
      <c r="W306" s="261" t="s">
        <v>792</v>
      </c>
      <c r="X306" s="261" t="s">
        <v>792</v>
      </c>
      <c r="Y306" s="261" t="s">
        <v>792</v>
      </c>
      <c r="Z306" s="261" t="s">
        <v>792</v>
      </c>
      <c r="AA306" s="261" t="s">
        <v>792</v>
      </c>
      <c r="AB306" s="261" t="s">
        <v>792</v>
      </c>
      <c r="AC306" s="261" t="s">
        <v>792</v>
      </c>
      <c r="AD306" s="261" t="s">
        <v>792</v>
      </c>
      <c r="AE306" s="261" t="s">
        <v>792</v>
      </c>
      <c r="AF306" s="261" t="s">
        <v>792</v>
      </c>
      <c r="AG306" s="261" t="s">
        <v>792</v>
      </c>
      <c r="AH306" s="261" t="s">
        <v>792</v>
      </c>
      <c r="AI306" s="261" t="s">
        <v>792</v>
      </c>
      <c r="AJ306" s="261" t="s">
        <v>792</v>
      </c>
      <c r="AK306" s="261" t="s">
        <v>792</v>
      </c>
      <c r="AL306" s="261" t="s">
        <v>792</v>
      </c>
      <c r="AM306" s="261" t="s">
        <v>792</v>
      </c>
      <c r="AN306" s="261" t="s">
        <v>792</v>
      </c>
      <c r="AO306" s="261" t="s">
        <v>792</v>
      </c>
      <c r="AP306" s="261" t="s">
        <v>792</v>
      </c>
      <c r="AQ306" s="261" t="s">
        <v>792</v>
      </c>
      <c r="AR306" s="261" t="s">
        <v>792</v>
      </c>
      <c r="AS306" s="261" t="s">
        <v>792</v>
      </c>
      <c r="AT306" s="261" t="s">
        <v>792</v>
      </c>
      <c r="AU306" s="261" t="s">
        <v>792</v>
      </c>
      <c r="AV306" s="261" t="s">
        <v>792</v>
      </c>
      <c r="AW306" s="261" t="s">
        <v>792</v>
      </c>
      <c r="AX306" s="261" t="s">
        <v>792</v>
      </c>
      <c r="AY306" s="261" t="s">
        <v>792</v>
      </c>
      <c r="AZ306" s="261" t="s">
        <v>792</v>
      </c>
      <c r="BA306" s="261" t="s">
        <v>792</v>
      </c>
      <c r="BB306" s="261" t="s">
        <v>792</v>
      </c>
      <c r="BC306" s="261" t="s">
        <v>792</v>
      </c>
      <c r="BD306" s="261" t="s">
        <v>792</v>
      </c>
      <c r="BE306" s="261" t="s">
        <v>792</v>
      </c>
      <c r="BF306" s="261" t="s">
        <v>792</v>
      </c>
    </row>
    <row r="307" spans="1:58" x14ac:dyDescent="0.3">
      <c r="A307" s="258" t="s">
        <v>894</v>
      </c>
      <c r="B307" s="259">
        <v>0</v>
      </c>
      <c r="C307" s="259">
        <v>0</v>
      </c>
      <c r="D307" s="259">
        <v>0</v>
      </c>
      <c r="E307" s="259">
        <v>0</v>
      </c>
      <c r="F307" s="259">
        <v>0</v>
      </c>
      <c r="G307" s="259">
        <v>0</v>
      </c>
      <c r="H307" s="259">
        <v>406530</v>
      </c>
      <c r="I307" s="259">
        <v>406530</v>
      </c>
      <c r="J307" s="259">
        <v>922862</v>
      </c>
      <c r="K307" s="259">
        <v>1057416</v>
      </c>
      <c r="L307" s="259">
        <v>464978</v>
      </c>
      <c r="M307" s="259">
        <v>410612</v>
      </c>
      <c r="N307" s="259">
        <v>433085</v>
      </c>
      <c r="O307" s="259">
        <v>427568</v>
      </c>
      <c r="P307" s="259">
        <v>592830</v>
      </c>
      <c r="Q307" s="259">
        <v>426964</v>
      </c>
      <c r="R307" s="259">
        <v>126877</v>
      </c>
      <c r="S307" s="259">
        <v>248111</v>
      </c>
      <c r="T307" s="259">
        <v>211913</v>
      </c>
      <c r="U307" s="259">
        <v>235006</v>
      </c>
      <c r="V307" s="259">
        <v>271084</v>
      </c>
      <c r="W307" s="259">
        <v>305227</v>
      </c>
      <c r="X307" s="259">
        <v>312432</v>
      </c>
      <c r="Y307" s="259">
        <v>369238</v>
      </c>
      <c r="Z307" s="259">
        <v>177509</v>
      </c>
      <c r="AA307" s="259">
        <v>157822</v>
      </c>
      <c r="AB307" s="259">
        <v>149181</v>
      </c>
      <c r="AC307" s="259">
        <v>181237</v>
      </c>
      <c r="AD307" s="259">
        <v>168597</v>
      </c>
      <c r="AE307" s="259">
        <v>243075</v>
      </c>
      <c r="AF307" s="259">
        <v>186922</v>
      </c>
      <c r="AG307" s="259">
        <v>209729</v>
      </c>
      <c r="AH307" s="259">
        <v>174429</v>
      </c>
      <c r="AI307" s="259">
        <v>159794</v>
      </c>
      <c r="AJ307" s="259">
        <v>169677</v>
      </c>
      <c r="AK307" s="259">
        <v>152872</v>
      </c>
      <c r="AL307" s="259">
        <v>159481</v>
      </c>
      <c r="AM307" s="259">
        <v>2377807</v>
      </c>
      <c r="AN307" s="259">
        <v>2307402</v>
      </c>
      <c r="AO307" s="259">
        <v>2143417</v>
      </c>
      <c r="AP307" s="259">
        <v>1654867</v>
      </c>
      <c r="AQ307" s="259">
        <v>2099354</v>
      </c>
      <c r="AR307" s="259">
        <v>2171787</v>
      </c>
      <c r="AS307" s="259">
        <v>2462368</v>
      </c>
      <c r="AT307" s="259">
        <v>1492121</v>
      </c>
      <c r="AU307" s="259">
        <v>1652464</v>
      </c>
      <c r="AV307" s="259">
        <v>4177649</v>
      </c>
      <c r="AW307" s="259">
        <v>4533092</v>
      </c>
      <c r="AX307" s="259">
        <v>4515170</v>
      </c>
      <c r="AY307" s="259">
        <v>5235026</v>
      </c>
      <c r="AZ307" s="259">
        <v>7147882</v>
      </c>
      <c r="BA307" s="259">
        <v>9259869</v>
      </c>
      <c r="BB307" s="259">
        <v>9022764</v>
      </c>
      <c r="BC307" s="259">
        <v>11816373</v>
      </c>
      <c r="BD307" s="259">
        <v>11170652</v>
      </c>
      <c r="BE307" s="259">
        <v>11762888</v>
      </c>
      <c r="BF307" s="259">
        <v>10968841</v>
      </c>
    </row>
    <row r="308" spans="1:58" x14ac:dyDescent="0.3">
      <c r="A308" s="260" t="s">
        <v>1043</v>
      </c>
      <c r="B308" s="262">
        <v>0</v>
      </c>
      <c r="C308" s="262">
        <v>0</v>
      </c>
      <c r="D308" s="262">
        <v>0</v>
      </c>
      <c r="E308" s="262">
        <v>0</v>
      </c>
      <c r="F308" s="262">
        <v>0</v>
      </c>
      <c r="G308" s="262">
        <v>0</v>
      </c>
      <c r="H308" s="261" t="s">
        <v>792</v>
      </c>
      <c r="I308" s="261" t="s">
        <v>792</v>
      </c>
      <c r="J308" s="261" t="s">
        <v>792</v>
      </c>
      <c r="K308" s="261" t="s">
        <v>792</v>
      </c>
      <c r="L308" s="261" t="s">
        <v>792</v>
      </c>
      <c r="M308" s="261" t="s">
        <v>792</v>
      </c>
      <c r="N308" s="261" t="s">
        <v>792</v>
      </c>
      <c r="O308" s="261" t="s">
        <v>792</v>
      </c>
      <c r="P308" s="261" t="s">
        <v>792</v>
      </c>
      <c r="Q308" s="261" t="s">
        <v>792</v>
      </c>
      <c r="R308" s="261" t="s">
        <v>792</v>
      </c>
      <c r="S308" s="261" t="s">
        <v>792</v>
      </c>
      <c r="T308" s="261" t="s">
        <v>792</v>
      </c>
      <c r="U308" s="261" t="s">
        <v>792</v>
      </c>
      <c r="V308" s="261" t="s">
        <v>792</v>
      </c>
      <c r="W308" s="261" t="s">
        <v>792</v>
      </c>
      <c r="X308" s="261" t="s">
        <v>792</v>
      </c>
      <c r="Y308" s="261" t="s">
        <v>792</v>
      </c>
      <c r="Z308" s="261" t="s">
        <v>792</v>
      </c>
      <c r="AA308" s="261" t="s">
        <v>792</v>
      </c>
      <c r="AB308" s="261" t="s">
        <v>792</v>
      </c>
      <c r="AC308" s="261" t="s">
        <v>792</v>
      </c>
      <c r="AD308" s="261" t="s">
        <v>792</v>
      </c>
      <c r="AE308" s="261" t="s">
        <v>792</v>
      </c>
      <c r="AF308" s="261" t="s">
        <v>792</v>
      </c>
      <c r="AG308" s="261" t="s">
        <v>792</v>
      </c>
      <c r="AH308" s="261" t="s">
        <v>792</v>
      </c>
      <c r="AI308" s="261" t="s">
        <v>792</v>
      </c>
      <c r="AJ308" s="261" t="s">
        <v>792</v>
      </c>
      <c r="AK308" s="261" t="s">
        <v>792</v>
      </c>
      <c r="AL308" s="261" t="s">
        <v>792</v>
      </c>
      <c r="AM308" s="261" t="s">
        <v>792</v>
      </c>
      <c r="AN308" s="261" t="s">
        <v>792</v>
      </c>
      <c r="AO308" s="261" t="s">
        <v>792</v>
      </c>
      <c r="AP308" s="261" t="s">
        <v>792</v>
      </c>
      <c r="AQ308" s="261" t="s">
        <v>792</v>
      </c>
      <c r="AR308" s="261" t="s">
        <v>792</v>
      </c>
      <c r="AS308" s="261" t="s">
        <v>792</v>
      </c>
      <c r="AT308" s="261" t="s">
        <v>792</v>
      </c>
      <c r="AU308" s="261" t="s">
        <v>792</v>
      </c>
      <c r="AV308" s="261" t="s">
        <v>792</v>
      </c>
      <c r="AW308" s="261" t="s">
        <v>792</v>
      </c>
      <c r="AX308" s="261" t="s">
        <v>792</v>
      </c>
      <c r="AY308" s="261" t="s">
        <v>792</v>
      </c>
      <c r="AZ308" s="261" t="s">
        <v>792</v>
      </c>
      <c r="BA308" s="261" t="s">
        <v>792</v>
      </c>
      <c r="BB308" s="261" t="s">
        <v>792</v>
      </c>
      <c r="BC308" s="261" t="s">
        <v>792</v>
      </c>
      <c r="BD308" s="261" t="s">
        <v>792</v>
      </c>
      <c r="BE308" s="261" t="s">
        <v>792</v>
      </c>
      <c r="BF308" s="261" t="s">
        <v>792</v>
      </c>
    </row>
    <row r="309" spans="1:58" x14ac:dyDescent="0.3">
      <c r="A309" s="263" t="s">
        <v>896</v>
      </c>
      <c r="B309" s="259">
        <v>0</v>
      </c>
      <c r="C309" s="259">
        <v>0</v>
      </c>
      <c r="D309" s="259">
        <v>0</v>
      </c>
      <c r="E309" s="259">
        <v>0</v>
      </c>
      <c r="F309" s="259">
        <v>0</v>
      </c>
      <c r="G309" s="259">
        <v>0</v>
      </c>
      <c r="H309" s="259">
        <v>0</v>
      </c>
      <c r="I309" s="259">
        <v>0</v>
      </c>
      <c r="J309" s="259">
        <v>0</v>
      </c>
      <c r="K309" s="264" t="s">
        <v>792</v>
      </c>
      <c r="L309" s="264" t="s">
        <v>792</v>
      </c>
      <c r="M309" s="264" t="s">
        <v>792</v>
      </c>
      <c r="N309" s="264" t="s">
        <v>792</v>
      </c>
      <c r="O309" s="264" t="s">
        <v>792</v>
      </c>
      <c r="P309" s="264" t="s">
        <v>792</v>
      </c>
      <c r="Q309" s="264" t="s">
        <v>792</v>
      </c>
      <c r="R309" s="259">
        <v>0</v>
      </c>
      <c r="S309" s="259">
        <v>0</v>
      </c>
      <c r="T309" s="259">
        <v>0</v>
      </c>
      <c r="U309" s="259">
        <v>0</v>
      </c>
      <c r="V309" s="259">
        <v>0</v>
      </c>
      <c r="W309" s="259">
        <v>0</v>
      </c>
      <c r="X309" s="259">
        <v>0</v>
      </c>
      <c r="Y309" s="259">
        <v>0</v>
      </c>
      <c r="Z309" s="259">
        <v>0</v>
      </c>
      <c r="AA309" s="259">
        <v>0</v>
      </c>
      <c r="AB309" s="259">
        <v>0</v>
      </c>
      <c r="AC309" s="259">
        <v>0</v>
      </c>
      <c r="AD309" s="259">
        <v>0</v>
      </c>
      <c r="AE309" s="259">
        <v>0</v>
      </c>
      <c r="AF309" s="259">
        <v>0</v>
      </c>
      <c r="AG309" s="259">
        <v>0</v>
      </c>
      <c r="AH309" s="259">
        <v>0</v>
      </c>
      <c r="AI309" s="259">
        <v>0</v>
      </c>
      <c r="AJ309" s="259">
        <v>0</v>
      </c>
      <c r="AK309" s="259">
        <v>0</v>
      </c>
      <c r="AL309" s="259">
        <v>25718</v>
      </c>
      <c r="AM309" s="259">
        <v>775163</v>
      </c>
      <c r="AN309" s="259">
        <v>724663</v>
      </c>
      <c r="AO309" s="259">
        <v>459663</v>
      </c>
      <c r="AP309" s="259">
        <v>421270</v>
      </c>
      <c r="AQ309" s="259">
        <v>676691</v>
      </c>
      <c r="AR309" s="259">
        <v>708873</v>
      </c>
      <c r="AS309" s="259">
        <v>747000</v>
      </c>
      <c r="AT309" s="259">
        <v>389753</v>
      </c>
      <c r="AU309" s="259">
        <v>281251</v>
      </c>
      <c r="AV309" s="259">
        <v>2959261</v>
      </c>
      <c r="AW309" s="259">
        <v>3220824</v>
      </c>
      <c r="AX309" s="259">
        <v>3307368</v>
      </c>
      <c r="AY309" s="259">
        <v>3748241</v>
      </c>
      <c r="AZ309" s="259">
        <v>5539105</v>
      </c>
      <c r="BA309" s="259">
        <v>5428115</v>
      </c>
      <c r="BB309" s="259">
        <v>5248108</v>
      </c>
      <c r="BC309" s="259">
        <v>5318627</v>
      </c>
      <c r="BD309" s="259">
        <v>4389772</v>
      </c>
      <c r="BE309" s="259">
        <v>4562425</v>
      </c>
      <c r="BF309" s="259">
        <v>4340854</v>
      </c>
    </row>
    <row r="310" spans="1:58" x14ac:dyDescent="0.3">
      <c r="A310" s="263" t="s">
        <v>899</v>
      </c>
      <c r="B310" s="259">
        <v>0</v>
      </c>
      <c r="C310" s="259">
        <v>0</v>
      </c>
      <c r="D310" s="259">
        <v>0</v>
      </c>
      <c r="E310" s="259">
        <v>0</v>
      </c>
      <c r="F310" s="259">
        <v>0</v>
      </c>
      <c r="G310" s="259">
        <v>0</v>
      </c>
      <c r="H310" s="259">
        <v>0</v>
      </c>
      <c r="I310" s="259">
        <v>0</v>
      </c>
      <c r="J310" s="259">
        <v>0</v>
      </c>
      <c r="K310" s="264" t="s">
        <v>792</v>
      </c>
      <c r="L310" s="264" t="s">
        <v>792</v>
      </c>
      <c r="M310" s="264" t="s">
        <v>792</v>
      </c>
      <c r="N310" s="264" t="s">
        <v>792</v>
      </c>
      <c r="O310" s="264" t="s">
        <v>792</v>
      </c>
      <c r="P310" s="264" t="s">
        <v>792</v>
      </c>
      <c r="Q310" s="264" t="s">
        <v>792</v>
      </c>
      <c r="R310" s="259">
        <v>0</v>
      </c>
      <c r="S310" s="259">
        <v>0</v>
      </c>
      <c r="T310" s="259">
        <v>0</v>
      </c>
      <c r="U310" s="259">
        <v>0</v>
      </c>
      <c r="V310" s="259">
        <v>87568</v>
      </c>
      <c r="W310" s="259">
        <v>87192</v>
      </c>
      <c r="X310" s="259">
        <v>87192</v>
      </c>
      <c r="Y310" s="259">
        <v>87192</v>
      </c>
      <c r="Z310" s="259">
        <v>31461</v>
      </c>
      <c r="AA310" s="259">
        <v>31454</v>
      </c>
      <c r="AB310" s="259">
        <v>31430</v>
      </c>
      <c r="AC310" s="259">
        <v>31431</v>
      </c>
      <c r="AD310" s="259">
        <v>31431</v>
      </c>
      <c r="AE310" s="259">
        <v>31431</v>
      </c>
      <c r="AF310" s="259">
        <v>31431</v>
      </c>
      <c r="AG310" s="259">
        <v>31393</v>
      </c>
      <c r="AH310" s="259">
        <v>54038</v>
      </c>
      <c r="AI310" s="259">
        <v>31245</v>
      </c>
      <c r="AJ310" s="259">
        <v>31241</v>
      </c>
      <c r="AK310" s="259">
        <v>31241</v>
      </c>
      <c r="AL310" s="259">
        <v>31241</v>
      </c>
      <c r="AM310" s="259">
        <v>0</v>
      </c>
      <c r="AN310" s="259">
        <v>0</v>
      </c>
      <c r="AO310" s="259">
        <v>0</v>
      </c>
      <c r="AP310" s="259">
        <v>0</v>
      </c>
      <c r="AQ310" s="259">
        <v>0</v>
      </c>
      <c r="AR310" s="259">
        <v>0</v>
      </c>
      <c r="AS310" s="259">
        <v>0</v>
      </c>
      <c r="AT310" s="259">
        <v>0</v>
      </c>
      <c r="AU310" s="259">
        <v>0</v>
      </c>
      <c r="AV310" s="259">
        <v>0</v>
      </c>
      <c r="AW310" s="259">
        <v>0</v>
      </c>
      <c r="AX310" s="259">
        <v>0</v>
      </c>
      <c r="AY310" s="259">
        <v>0</v>
      </c>
      <c r="AZ310" s="259">
        <v>0</v>
      </c>
      <c r="BA310" s="259">
        <v>2066670</v>
      </c>
      <c r="BB310" s="259">
        <v>2039518</v>
      </c>
      <c r="BC310" s="259">
        <v>1942333</v>
      </c>
      <c r="BD310" s="259">
        <v>1808793</v>
      </c>
      <c r="BE310" s="259">
        <v>1871454</v>
      </c>
      <c r="BF310" s="259">
        <v>1800248</v>
      </c>
    </row>
    <row r="311" spans="1:58" x14ac:dyDescent="0.3">
      <c r="A311" s="263" t="s">
        <v>912</v>
      </c>
      <c r="B311" s="259">
        <v>0</v>
      </c>
      <c r="C311" s="259">
        <v>0</v>
      </c>
      <c r="D311" s="259">
        <v>0</v>
      </c>
      <c r="E311" s="259">
        <v>0</v>
      </c>
      <c r="F311" s="259">
        <v>0</v>
      </c>
      <c r="G311" s="259">
        <v>0</v>
      </c>
      <c r="H311" s="259">
        <v>0</v>
      </c>
      <c r="I311" s="259">
        <v>0</v>
      </c>
      <c r="J311" s="259">
        <v>0</v>
      </c>
      <c r="K311" s="259">
        <v>0</v>
      </c>
      <c r="L311" s="259">
        <v>0</v>
      </c>
      <c r="M311" s="259">
        <v>0</v>
      </c>
      <c r="N311" s="259">
        <v>0</v>
      </c>
      <c r="O311" s="259">
        <v>0</v>
      </c>
      <c r="P311" s="259">
        <v>200</v>
      </c>
      <c r="Q311" s="259">
        <v>300</v>
      </c>
      <c r="R311" s="259">
        <v>0</v>
      </c>
      <c r="S311" s="259">
        <v>114139</v>
      </c>
      <c r="T311" s="259">
        <v>82619</v>
      </c>
      <c r="U311" s="259">
        <v>85333</v>
      </c>
      <c r="V311" s="259">
        <v>171877</v>
      </c>
      <c r="W311" s="259">
        <v>207215</v>
      </c>
      <c r="X311" s="259">
        <v>202816</v>
      </c>
      <c r="Y311" s="259">
        <v>259802</v>
      </c>
      <c r="Z311" s="259">
        <v>128912</v>
      </c>
      <c r="AA311" s="259">
        <v>108756</v>
      </c>
      <c r="AB311" s="259">
        <v>100657</v>
      </c>
      <c r="AC311" s="259">
        <v>100694</v>
      </c>
      <c r="AD311" s="259">
        <v>105063</v>
      </c>
      <c r="AE311" s="259">
        <v>141898</v>
      </c>
      <c r="AF311" s="259">
        <v>96077</v>
      </c>
      <c r="AG311" s="259">
        <v>96506</v>
      </c>
      <c r="AH311" s="259">
        <v>89238</v>
      </c>
      <c r="AI311" s="259">
        <v>89941</v>
      </c>
      <c r="AJ311" s="259">
        <v>106416</v>
      </c>
      <c r="AK311" s="259">
        <v>106362</v>
      </c>
      <c r="AL311" s="259">
        <v>86154</v>
      </c>
      <c r="AM311" s="259">
        <v>656202</v>
      </c>
      <c r="AN311" s="259">
        <v>563933</v>
      </c>
      <c r="AO311" s="259">
        <v>625273</v>
      </c>
      <c r="AP311" s="259">
        <v>829246</v>
      </c>
      <c r="AQ311" s="259">
        <v>938838</v>
      </c>
      <c r="AR311" s="259">
        <v>996106</v>
      </c>
      <c r="AS311" s="259">
        <v>1273718</v>
      </c>
      <c r="AT311" s="259">
        <v>714313</v>
      </c>
      <c r="AU311" s="259">
        <v>944654</v>
      </c>
      <c r="AV311" s="259">
        <v>889337</v>
      </c>
      <c r="AW311" s="259">
        <v>835671</v>
      </c>
      <c r="AX311" s="259">
        <v>719573</v>
      </c>
      <c r="AY311" s="259">
        <v>592462</v>
      </c>
      <c r="AZ311" s="259">
        <v>675662</v>
      </c>
      <c r="BA311" s="259">
        <v>702022</v>
      </c>
      <c r="BB311" s="259">
        <v>294981</v>
      </c>
      <c r="BC311" s="259">
        <v>2300388</v>
      </c>
      <c r="BD311" s="259">
        <v>2613821</v>
      </c>
      <c r="BE311" s="259">
        <v>2653271</v>
      </c>
      <c r="BF311" s="259">
        <v>2067530</v>
      </c>
    </row>
    <row r="312" spans="1:58" x14ac:dyDescent="0.3">
      <c r="A312" s="263" t="s">
        <v>1044</v>
      </c>
      <c r="B312" s="259">
        <v>0</v>
      </c>
      <c r="C312" s="259">
        <v>0</v>
      </c>
      <c r="D312" s="259">
        <v>0</v>
      </c>
      <c r="E312" s="259">
        <v>0</v>
      </c>
      <c r="F312" s="259">
        <v>0</v>
      </c>
      <c r="G312" s="259">
        <v>0</v>
      </c>
      <c r="H312" s="264" t="s">
        <v>792</v>
      </c>
      <c r="I312" s="264" t="s">
        <v>792</v>
      </c>
      <c r="J312" s="264" t="s">
        <v>792</v>
      </c>
      <c r="K312" s="264" t="s">
        <v>792</v>
      </c>
      <c r="L312" s="264" t="s">
        <v>792</v>
      </c>
      <c r="M312" s="264" t="s">
        <v>792</v>
      </c>
      <c r="N312" s="264" t="s">
        <v>792</v>
      </c>
      <c r="O312" s="264" t="s">
        <v>792</v>
      </c>
      <c r="P312" s="264" t="s">
        <v>792</v>
      </c>
      <c r="Q312" s="264" t="s">
        <v>792</v>
      </c>
      <c r="R312" s="264" t="s">
        <v>792</v>
      </c>
      <c r="S312" s="264" t="s">
        <v>792</v>
      </c>
      <c r="T312" s="264" t="s">
        <v>792</v>
      </c>
      <c r="U312" s="264" t="s">
        <v>792</v>
      </c>
      <c r="V312" s="264" t="s">
        <v>792</v>
      </c>
      <c r="W312" s="264" t="s">
        <v>792</v>
      </c>
      <c r="X312" s="264" t="s">
        <v>792</v>
      </c>
      <c r="Y312" s="264" t="s">
        <v>792</v>
      </c>
      <c r="Z312" s="264" t="s">
        <v>792</v>
      </c>
      <c r="AA312" s="264" t="s">
        <v>792</v>
      </c>
      <c r="AB312" s="264" t="s">
        <v>792</v>
      </c>
      <c r="AC312" s="264" t="s">
        <v>792</v>
      </c>
      <c r="AD312" s="264" t="s">
        <v>792</v>
      </c>
      <c r="AE312" s="264" t="s">
        <v>792</v>
      </c>
      <c r="AF312" s="264" t="s">
        <v>792</v>
      </c>
      <c r="AG312" s="264" t="s">
        <v>792</v>
      </c>
      <c r="AH312" s="264" t="s">
        <v>792</v>
      </c>
      <c r="AI312" s="264" t="s">
        <v>792</v>
      </c>
      <c r="AJ312" s="264" t="s">
        <v>792</v>
      </c>
      <c r="AK312" s="264" t="s">
        <v>792</v>
      </c>
      <c r="AL312" s="264" t="s">
        <v>792</v>
      </c>
      <c r="AM312" s="264" t="s">
        <v>792</v>
      </c>
      <c r="AN312" s="264" t="s">
        <v>792</v>
      </c>
      <c r="AO312" s="264" t="s">
        <v>792</v>
      </c>
      <c r="AP312" s="264" t="s">
        <v>792</v>
      </c>
      <c r="AQ312" s="264" t="s">
        <v>792</v>
      </c>
      <c r="AR312" s="264" t="s">
        <v>792</v>
      </c>
      <c r="AS312" s="264" t="s">
        <v>792</v>
      </c>
      <c r="AT312" s="264" t="s">
        <v>792</v>
      </c>
      <c r="AU312" s="264" t="s">
        <v>792</v>
      </c>
      <c r="AV312" s="264" t="s">
        <v>792</v>
      </c>
      <c r="AW312" s="264" t="s">
        <v>792</v>
      </c>
      <c r="AX312" s="264" t="s">
        <v>792</v>
      </c>
      <c r="AY312" s="264" t="s">
        <v>792</v>
      </c>
      <c r="AZ312" s="264" t="s">
        <v>792</v>
      </c>
      <c r="BA312" s="264" t="s">
        <v>792</v>
      </c>
      <c r="BB312" s="264" t="s">
        <v>792</v>
      </c>
      <c r="BC312" s="264" t="s">
        <v>792</v>
      </c>
      <c r="BD312" s="264" t="s">
        <v>792</v>
      </c>
      <c r="BE312" s="264" t="s">
        <v>792</v>
      </c>
      <c r="BF312" s="264" t="s">
        <v>792</v>
      </c>
    </row>
    <row r="313" spans="1:58" x14ac:dyDescent="0.3">
      <c r="A313" s="263" t="s">
        <v>939</v>
      </c>
      <c r="B313" s="259">
        <v>0</v>
      </c>
      <c r="C313" s="259">
        <v>0</v>
      </c>
      <c r="D313" s="259">
        <v>0</v>
      </c>
      <c r="E313" s="259">
        <v>0</v>
      </c>
      <c r="F313" s="259">
        <v>0</v>
      </c>
      <c r="G313" s="259">
        <v>0</v>
      </c>
      <c r="H313" s="264" t="s">
        <v>792</v>
      </c>
      <c r="I313" s="264" t="s">
        <v>792</v>
      </c>
      <c r="J313" s="264" t="s">
        <v>792</v>
      </c>
      <c r="K313" s="264" t="s">
        <v>792</v>
      </c>
      <c r="L313" s="264" t="s">
        <v>792</v>
      </c>
      <c r="M313" s="264" t="s">
        <v>792</v>
      </c>
      <c r="N313" s="264" t="s">
        <v>792</v>
      </c>
      <c r="O313" s="264" t="s">
        <v>792</v>
      </c>
      <c r="P313" s="264" t="s">
        <v>792</v>
      </c>
      <c r="Q313" s="264" t="s">
        <v>792</v>
      </c>
      <c r="R313" s="264" t="s">
        <v>792</v>
      </c>
      <c r="S313" s="264" t="s">
        <v>792</v>
      </c>
      <c r="T313" s="264" t="s">
        <v>792</v>
      </c>
      <c r="U313" s="264" t="s">
        <v>792</v>
      </c>
      <c r="V313" s="264" t="s">
        <v>792</v>
      </c>
      <c r="W313" s="264" t="s">
        <v>792</v>
      </c>
      <c r="X313" s="264" t="s">
        <v>792</v>
      </c>
      <c r="Y313" s="264" t="s">
        <v>792</v>
      </c>
      <c r="Z313" s="264" t="s">
        <v>792</v>
      </c>
      <c r="AA313" s="264" t="s">
        <v>792</v>
      </c>
      <c r="AB313" s="264" t="s">
        <v>792</v>
      </c>
      <c r="AC313" s="264" t="s">
        <v>792</v>
      </c>
      <c r="AD313" s="264" t="s">
        <v>792</v>
      </c>
      <c r="AE313" s="264" t="s">
        <v>792</v>
      </c>
      <c r="AF313" s="264" t="s">
        <v>792</v>
      </c>
      <c r="AG313" s="264" t="s">
        <v>792</v>
      </c>
      <c r="AH313" s="264" t="s">
        <v>792</v>
      </c>
      <c r="AI313" s="264" t="s">
        <v>792</v>
      </c>
      <c r="AJ313" s="264" t="s">
        <v>792</v>
      </c>
      <c r="AK313" s="264" t="s">
        <v>792</v>
      </c>
      <c r="AL313" s="264" t="s">
        <v>792</v>
      </c>
      <c r="AM313" s="264" t="s">
        <v>792</v>
      </c>
      <c r="AN313" s="264" t="s">
        <v>792</v>
      </c>
      <c r="AO313" s="264" t="s">
        <v>792</v>
      </c>
      <c r="AP313" s="264" t="s">
        <v>792</v>
      </c>
      <c r="AQ313" s="264" t="s">
        <v>792</v>
      </c>
      <c r="AR313" s="264" t="s">
        <v>792</v>
      </c>
      <c r="AS313" s="264" t="s">
        <v>792</v>
      </c>
      <c r="AT313" s="264" t="s">
        <v>792</v>
      </c>
      <c r="AU313" s="264" t="s">
        <v>792</v>
      </c>
      <c r="AV313" s="264" t="s">
        <v>792</v>
      </c>
      <c r="AW313" s="264" t="s">
        <v>792</v>
      </c>
      <c r="AX313" s="264" t="s">
        <v>792</v>
      </c>
      <c r="AY313" s="264" t="s">
        <v>792</v>
      </c>
      <c r="AZ313" s="264" t="s">
        <v>792</v>
      </c>
      <c r="BA313" s="264" t="s">
        <v>792</v>
      </c>
      <c r="BB313" s="264" t="s">
        <v>792</v>
      </c>
      <c r="BC313" s="264" t="s">
        <v>792</v>
      </c>
      <c r="BD313" s="264" t="s">
        <v>792</v>
      </c>
      <c r="BE313" s="264" t="s">
        <v>792</v>
      </c>
      <c r="BF313" s="264" t="s">
        <v>792</v>
      </c>
    </row>
    <row r="314" spans="1:58" x14ac:dyDescent="0.3">
      <c r="A314" s="263" t="s">
        <v>1045</v>
      </c>
      <c r="B314" s="259">
        <v>0</v>
      </c>
      <c r="C314" s="259">
        <v>0</v>
      </c>
      <c r="D314" s="259">
        <v>0</v>
      </c>
      <c r="E314" s="259">
        <v>0</v>
      </c>
      <c r="F314" s="259">
        <v>0</v>
      </c>
      <c r="G314" s="259">
        <v>0</v>
      </c>
      <c r="H314" s="264" t="s">
        <v>792</v>
      </c>
      <c r="I314" s="264" t="s">
        <v>792</v>
      </c>
      <c r="J314" s="264" t="s">
        <v>792</v>
      </c>
      <c r="K314" s="264" t="s">
        <v>792</v>
      </c>
      <c r="L314" s="264" t="s">
        <v>792</v>
      </c>
      <c r="M314" s="264" t="s">
        <v>792</v>
      </c>
      <c r="N314" s="264" t="s">
        <v>792</v>
      </c>
      <c r="O314" s="264" t="s">
        <v>792</v>
      </c>
      <c r="P314" s="264" t="s">
        <v>792</v>
      </c>
      <c r="Q314" s="264" t="s">
        <v>792</v>
      </c>
      <c r="R314" s="264" t="s">
        <v>792</v>
      </c>
      <c r="S314" s="264" t="s">
        <v>792</v>
      </c>
      <c r="T314" s="264" t="s">
        <v>792</v>
      </c>
      <c r="U314" s="264" t="s">
        <v>792</v>
      </c>
      <c r="V314" s="264" t="s">
        <v>792</v>
      </c>
      <c r="W314" s="264" t="s">
        <v>792</v>
      </c>
      <c r="X314" s="264" t="s">
        <v>792</v>
      </c>
      <c r="Y314" s="264" t="s">
        <v>792</v>
      </c>
      <c r="Z314" s="264" t="s">
        <v>792</v>
      </c>
      <c r="AA314" s="264" t="s">
        <v>792</v>
      </c>
      <c r="AB314" s="264" t="s">
        <v>792</v>
      </c>
      <c r="AC314" s="264" t="s">
        <v>792</v>
      </c>
      <c r="AD314" s="264" t="s">
        <v>792</v>
      </c>
      <c r="AE314" s="264" t="s">
        <v>792</v>
      </c>
      <c r="AF314" s="264" t="s">
        <v>792</v>
      </c>
      <c r="AG314" s="264" t="s">
        <v>792</v>
      </c>
      <c r="AH314" s="264" t="s">
        <v>792</v>
      </c>
      <c r="AI314" s="264" t="s">
        <v>792</v>
      </c>
      <c r="AJ314" s="264" t="s">
        <v>792</v>
      </c>
      <c r="AK314" s="264" t="s">
        <v>792</v>
      </c>
      <c r="AL314" s="264" t="s">
        <v>792</v>
      </c>
      <c r="AM314" s="264" t="s">
        <v>792</v>
      </c>
      <c r="AN314" s="264" t="s">
        <v>792</v>
      </c>
      <c r="AO314" s="264" t="s">
        <v>792</v>
      </c>
      <c r="AP314" s="264" t="s">
        <v>792</v>
      </c>
      <c r="AQ314" s="264" t="s">
        <v>792</v>
      </c>
      <c r="AR314" s="264" t="s">
        <v>792</v>
      </c>
      <c r="AS314" s="264" t="s">
        <v>792</v>
      </c>
      <c r="AT314" s="264" t="s">
        <v>792</v>
      </c>
      <c r="AU314" s="264" t="s">
        <v>792</v>
      </c>
      <c r="AV314" s="264" t="s">
        <v>792</v>
      </c>
      <c r="AW314" s="264" t="s">
        <v>792</v>
      </c>
      <c r="AX314" s="264" t="s">
        <v>792</v>
      </c>
      <c r="AY314" s="264" t="s">
        <v>792</v>
      </c>
      <c r="AZ314" s="264" t="s">
        <v>792</v>
      </c>
      <c r="BA314" s="264" t="s">
        <v>792</v>
      </c>
      <c r="BB314" s="264" t="s">
        <v>792</v>
      </c>
      <c r="BC314" s="264" t="s">
        <v>792</v>
      </c>
      <c r="BD314" s="264" t="s">
        <v>792</v>
      </c>
      <c r="BE314" s="264" t="s">
        <v>792</v>
      </c>
      <c r="BF314" s="264" t="s">
        <v>792</v>
      </c>
    </row>
    <row r="315" spans="1:58" x14ac:dyDescent="0.3">
      <c r="A315" s="258" t="s">
        <v>1046</v>
      </c>
      <c r="B315" s="259">
        <v>0</v>
      </c>
      <c r="C315" s="259">
        <v>0</v>
      </c>
      <c r="D315" s="259">
        <v>0</v>
      </c>
      <c r="E315" s="259">
        <v>0</v>
      </c>
      <c r="F315" s="259">
        <v>0</v>
      </c>
      <c r="G315" s="259">
        <v>0</v>
      </c>
      <c r="H315" s="259">
        <v>0</v>
      </c>
      <c r="I315" s="259">
        <v>0</v>
      </c>
      <c r="J315" s="259">
        <v>0</v>
      </c>
      <c r="K315" s="259">
        <v>0</v>
      </c>
      <c r="L315" s="259">
        <v>0</v>
      </c>
      <c r="M315" s="259">
        <v>0</v>
      </c>
      <c r="N315" s="259">
        <v>0</v>
      </c>
      <c r="O315" s="259">
        <v>0</v>
      </c>
      <c r="P315" s="259">
        <v>0</v>
      </c>
      <c r="Q315" s="259">
        <v>0</v>
      </c>
      <c r="R315" s="259">
        <v>0</v>
      </c>
      <c r="S315" s="259">
        <v>0</v>
      </c>
      <c r="T315" s="259">
        <v>0</v>
      </c>
      <c r="U315" s="259">
        <v>0</v>
      </c>
      <c r="V315" s="259">
        <v>0</v>
      </c>
      <c r="W315" s="259">
        <v>0</v>
      </c>
      <c r="X315" s="259">
        <v>0</v>
      </c>
      <c r="Y315" s="259">
        <v>0</v>
      </c>
      <c r="Z315" s="259">
        <v>0</v>
      </c>
      <c r="AA315" s="259">
        <v>0</v>
      </c>
      <c r="AB315" s="259">
        <v>0</v>
      </c>
      <c r="AC315" s="259">
        <v>0</v>
      </c>
      <c r="AD315" s="259">
        <v>0</v>
      </c>
      <c r="AE315" s="259">
        <v>0</v>
      </c>
      <c r="AF315" s="259">
        <v>0</v>
      </c>
      <c r="AG315" s="259">
        <v>0</v>
      </c>
      <c r="AH315" s="259">
        <v>0</v>
      </c>
      <c r="AI315" s="259">
        <v>0</v>
      </c>
      <c r="AJ315" s="259">
        <v>0</v>
      </c>
      <c r="AK315" s="259">
        <v>0</v>
      </c>
      <c r="AL315" s="259">
        <v>0</v>
      </c>
      <c r="AM315" s="259">
        <v>0</v>
      </c>
      <c r="AN315" s="259">
        <v>0</v>
      </c>
      <c r="AO315" s="259">
        <v>0</v>
      </c>
      <c r="AP315" s="259">
        <v>0</v>
      </c>
      <c r="AQ315" s="259">
        <v>0</v>
      </c>
      <c r="AR315" s="259">
        <v>0</v>
      </c>
      <c r="AS315" s="259">
        <v>0</v>
      </c>
      <c r="AT315" s="259">
        <v>0</v>
      </c>
      <c r="AU315" s="259">
        <v>0</v>
      </c>
      <c r="AV315" s="259">
        <v>0</v>
      </c>
      <c r="AW315" s="259">
        <v>0</v>
      </c>
      <c r="AX315" s="259">
        <v>0</v>
      </c>
      <c r="AY315" s="259">
        <v>0</v>
      </c>
      <c r="AZ315" s="259">
        <v>0</v>
      </c>
      <c r="BA315" s="259">
        <v>0</v>
      </c>
      <c r="BB315" s="259">
        <v>0</v>
      </c>
      <c r="BC315" s="259">
        <v>0</v>
      </c>
      <c r="BD315" s="259">
        <v>0</v>
      </c>
      <c r="BE315" s="259">
        <v>0</v>
      </c>
      <c r="BF315" s="259">
        <v>0</v>
      </c>
    </row>
    <row r="316" spans="1:58" x14ac:dyDescent="0.3">
      <c r="A316" s="258" t="s">
        <v>930</v>
      </c>
      <c r="B316" s="259">
        <v>0</v>
      </c>
      <c r="C316" s="259">
        <v>0</v>
      </c>
      <c r="D316" s="259">
        <v>-946</v>
      </c>
      <c r="E316" s="259">
        <v>32</v>
      </c>
      <c r="F316" s="259">
        <v>0</v>
      </c>
      <c r="G316" s="259">
        <v>0</v>
      </c>
      <c r="H316" s="259">
        <v>0</v>
      </c>
      <c r="I316" s="259">
        <v>0</v>
      </c>
      <c r="J316" s="259">
        <v>0</v>
      </c>
      <c r="K316" s="259">
        <v>0</v>
      </c>
      <c r="L316" s="259">
        <v>0</v>
      </c>
      <c r="M316" s="259">
        <v>0</v>
      </c>
      <c r="N316" s="259">
        <v>0</v>
      </c>
      <c r="O316" s="259">
        <v>0</v>
      </c>
      <c r="P316" s="259">
        <v>0</v>
      </c>
      <c r="Q316" s="259">
        <v>0</v>
      </c>
      <c r="R316" s="259">
        <v>0</v>
      </c>
      <c r="S316" s="259">
        <v>0</v>
      </c>
      <c r="T316" s="259">
        <v>0</v>
      </c>
      <c r="U316" s="259">
        <v>0</v>
      </c>
      <c r="V316" s="259">
        <v>0</v>
      </c>
      <c r="W316" s="259">
        <v>0</v>
      </c>
      <c r="X316" s="259">
        <v>0</v>
      </c>
      <c r="Y316" s="259">
        <v>-24208</v>
      </c>
      <c r="Z316" s="259">
        <v>0</v>
      </c>
      <c r="AA316" s="259">
        <v>0</v>
      </c>
      <c r="AB316" s="259">
        <v>0</v>
      </c>
      <c r="AC316" s="259">
        <v>0</v>
      </c>
      <c r="AD316" s="259">
        <v>0</v>
      </c>
      <c r="AE316" s="259">
        <v>0</v>
      </c>
      <c r="AF316" s="259">
        <v>0</v>
      </c>
      <c r="AG316" s="259">
        <v>0</v>
      </c>
      <c r="AH316" s="259">
        <v>0</v>
      </c>
      <c r="AI316" s="259">
        <v>0</v>
      </c>
      <c r="AJ316" s="259">
        <v>0</v>
      </c>
      <c r="AK316" s="259">
        <v>0</v>
      </c>
      <c r="AL316" s="259">
        <v>0</v>
      </c>
      <c r="AM316" s="259">
        <v>833</v>
      </c>
      <c r="AN316" s="259">
        <v>1161</v>
      </c>
      <c r="AO316" s="259">
        <v>1519</v>
      </c>
      <c r="AP316" s="259">
        <v>759</v>
      </c>
      <c r="AQ316" s="259">
        <v>979</v>
      </c>
      <c r="AR316" s="259">
        <v>993</v>
      </c>
      <c r="AS316" s="259">
        <v>1031</v>
      </c>
      <c r="AT316" s="259">
        <v>849</v>
      </c>
      <c r="AU316" s="259">
        <v>0</v>
      </c>
      <c r="AV316" s="259">
        <v>0</v>
      </c>
      <c r="AW316" s="259">
        <v>0</v>
      </c>
      <c r="AX316" s="259">
        <v>0</v>
      </c>
      <c r="AY316" s="259">
        <v>0</v>
      </c>
      <c r="AZ316" s="259">
        <v>0</v>
      </c>
      <c r="BA316" s="259">
        <v>0</v>
      </c>
      <c r="BB316" s="259">
        <v>0</v>
      </c>
      <c r="BC316" s="259">
        <v>0</v>
      </c>
      <c r="BD316" s="259">
        <v>0</v>
      </c>
      <c r="BE316" s="259">
        <v>0</v>
      </c>
      <c r="BF316" s="259">
        <v>0</v>
      </c>
    </row>
    <row r="317" spans="1:58" x14ac:dyDescent="0.3">
      <c r="A317" s="258" t="s">
        <v>931</v>
      </c>
      <c r="B317" s="259">
        <v>406866</v>
      </c>
      <c r="C317" s="259">
        <v>395564</v>
      </c>
      <c r="D317" s="259">
        <v>403266</v>
      </c>
      <c r="E317" s="259">
        <v>384462</v>
      </c>
      <c r="F317" s="259">
        <v>2660457</v>
      </c>
      <c r="G317" s="259">
        <v>2653050</v>
      </c>
      <c r="H317" s="259">
        <v>3929551</v>
      </c>
      <c r="I317" s="259">
        <v>3949242</v>
      </c>
      <c r="J317" s="259">
        <v>3871719</v>
      </c>
      <c r="K317" s="259">
        <v>3913844</v>
      </c>
      <c r="L317" s="259">
        <v>3844494</v>
      </c>
      <c r="M317" s="259">
        <v>3722348</v>
      </c>
      <c r="N317" s="259">
        <v>3659377</v>
      </c>
      <c r="O317" s="259">
        <v>3574096</v>
      </c>
      <c r="P317" s="259">
        <v>3231086</v>
      </c>
      <c r="Q317" s="259">
        <v>2364625</v>
      </c>
      <c r="R317" s="259">
        <v>1454598</v>
      </c>
      <c r="S317" s="259">
        <v>1470098</v>
      </c>
      <c r="T317" s="259">
        <v>1470858</v>
      </c>
      <c r="U317" s="259">
        <v>1515186</v>
      </c>
      <c r="V317" s="259">
        <v>621733</v>
      </c>
      <c r="W317" s="259">
        <v>627568</v>
      </c>
      <c r="X317" s="259">
        <v>606134</v>
      </c>
      <c r="Y317" s="259">
        <v>703072</v>
      </c>
      <c r="Z317" s="259">
        <v>914105</v>
      </c>
      <c r="AA317" s="259">
        <v>834993</v>
      </c>
      <c r="AB317" s="259">
        <v>774526</v>
      </c>
      <c r="AC317" s="259">
        <v>847552</v>
      </c>
      <c r="AD317" s="259">
        <v>834152</v>
      </c>
      <c r="AE317" s="259">
        <v>904659</v>
      </c>
      <c r="AF317" s="259">
        <v>930824</v>
      </c>
      <c r="AG317" s="259">
        <v>970108</v>
      </c>
      <c r="AH317" s="259">
        <v>860483</v>
      </c>
      <c r="AI317" s="259">
        <v>881116</v>
      </c>
      <c r="AJ317" s="259">
        <v>941004</v>
      </c>
      <c r="AK317" s="259">
        <v>959645</v>
      </c>
      <c r="AL317" s="259">
        <v>1006596</v>
      </c>
      <c r="AM317" s="259">
        <v>1031762</v>
      </c>
      <c r="AN317" s="259">
        <v>1198604</v>
      </c>
      <c r="AO317" s="259">
        <v>1313713</v>
      </c>
      <c r="AP317" s="259">
        <v>2164342</v>
      </c>
      <c r="AQ317" s="259">
        <v>2561678</v>
      </c>
      <c r="AR317" s="259">
        <v>2580173</v>
      </c>
      <c r="AS317" s="259">
        <v>2541814</v>
      </c>
      <c r="AT317" s="259">
        <v>3150414</v>
      </c>
      <c r="AU317" s="259">
        <v>5335225</v>
      </c>
      <c r="AV317" s="259">
        <v>5421757</v>
      </c>
      <c r="AW317" s="259">
        <v>5686920</v>
      </c>
      <c r="AX317" s="259">
        <v>6620249</v>
      </c>
      <c r="AY317" s="259">
        <v>6722946</v>
      </c>
      <c r="AZ317" s="259">
        <v>8171627</v>
      </c>
      <c r="BA317" s="259">
        <v>9237921</v>
      </c>
      <c r="BB317" s="259">
        <v>9892017</v>
      </c>
      <c r="BC317" s="259">
        <v>10628965</v>
      </c>
      <c r="BD317" s="259">
        <v>10753888</v>
      </c>
      <c r="BE317" s="259">
        <v>12901104</v>
      </c>
      <c r="BF317" s="259">
        <v>13878280</v>
      </c>
    </row>
    <row r="318" spans="1:58" x14ac:dyDescent="0.3">
      <c r="A318" s="260" t="s">
        <v>932</v>
      </c>
      <c r="B318" s="262">
        <v>4720</v>
      </c>
      <c r="C318" s="262">
        <v>4720</v>
      </c>
      <c r="D318" s="262">
        <v>4720</v>
      </c>
      <c r="E318" s="262">
        <v>4733</v>
      </c>
      <c r="F318" s="262">
        <v>2348623</v>
      </c>
      <c r="G318" s="262">
        <v>2361674</v>
      </c>
      <c r="H318" s="262">
        <v>3695109</v>
      </c>
      <c r="I318" s="262">
        <v>3767053</v>
      </c>
      <c r="J318" s="262">
        <v>3809535</v>
      </c>
      <c r="K318" s="262">
        <v>3815879</v>
      </c>
      <c r="L318" s="262">
        <v>3815997</v>
      </c>
      <c r="M318" s="262">
        <v>3816006</v>
      </c>
      <c r="N318" s="262">
        <v>3817130</v>
      </c>
      <c r="O318" s="262">
        <v>3818665</v>
      </c>
      <c r="P318" s="262">
        <v>3821205</v>
      </c>
      <c r="Q318" s="262">
        <v>3821205</v>
      </c>
      <c r="R318" s="262">
        <v>3821205</v>
      </c>
      <c r="S318" s="262">
        <v>3821205</v>
      </c>
      <c r="T318" s="262">
        <v>3821206</v>
      </c>
      <c r="U318" s="262">
        <v>3821206</v>
      </c>
      <c r="V318" s="262">
        <v>3821206</v>
      </c>
      <c r="W318" s="262">
        <v>3821206</v>
      </c>
      <c r="X318" s="262">
        <v>3209454</v>
      </c>
      <c r="Y318" s="262">
        <v>3209454</v>
      </c>
      <c r="Z318" s="262">
        <v>3265185</v>
      </c>
      <c r="AA318" s="262">
        <v>3265192</v>
      </c>
      <c r="AB318" s="262">
        <v>3265216</v>
      </c>
      <c r="AC318" s="262">
        <v>3265216</v>
      </c>
      <c r="AD318" s="262">
        <v>3265216</v>
      </c>
      <c r="AE318" s="262">
        <v>3265216</v>
      </c>
      <c r="AF318" s="262">
        <v>3265216</v>
      </c>
      <c r="AG318" s="262">
        <v>3265253</v>
      </c>
      <c r="AH318" s="262">
        <v>3265256</v>
      </c>
      <c r="AI318" s="262">
        <v>3273110</v>
      </c>
      <c r="AJ318" s="262">
        <v>3273114</v>
      </c>
      <c r="AK318" s="262">
        <v>3273114</v>
      </c>
      <c r="AL318" s="262">
        <v>3273114</v>
      </c>
      <c r="AM318" s="262">
        <v>3292211</v>
      </c>
      <c r="AN318" s="262">
        <v>3307246</v>
      </c>
      <c r="AO318" s="262">
        <v>3307246</v>
      </c>
      <c r="AP318" s="262">
        <v>3316411</v>
      </c>
      <c r="AQ318" s="262">
        <v>3326998</v>
      </c>
      <c r="AR318" s="262">
        <v>3326998</v>
      </c>
      <c r="AS318" s="262">
        <v>3326998</v>
      </c>
      <c r="AT318" s="262">
        <v>3326900</v>
      </c>
      <c r="AU318" s="262">
        <v>5305772</v>
      </c>
      <c r="AV318" s="262">
        <v>5303644</v>
      </c>
      <c r="AW318" s="262">
        <v>5303644</v>
      </c>
      <c r="AX318" s="262">
        <v>5303644</v>
      </c>
      <c r="AY318" s="262">
        <v>5320231</v>
      </c>
      <c r="AZ318" s="262">
        <v>5320231</v>
      </c>
      <c r="BA318" s="262">
        <v>5319674</v>
      </c>
      <c r="BB318" s="262">
        <v>5319674</v>
      </c>
      <c r="BC318" s="262">
        <v>5352792</v>
      </c>
      <c r="BD318" s="262">
        <v>5352792</v>
      </c>
      <c r="BE318" s="262">
        <v>5352792</v>
      </c>
      <c r="BF318" s="262">
        <v>5352792</v>
      </c>
    </row>
    <row r="319" spans="1:58" x14ac:dyDescent="0.3">
      <c r="A319" s="260" t="s">
        <v>933</v>
      </c>
      <c r="B319" s="262">
        <v>415084</v>
      </c>
      <c r="C319" s="262">
        <v>415084</v>
      </c>
      <c r="D319" s="262">
        <v>415084</v>
      </c>
      <c r="E319" s="262">
        <v>416915</v>
      </c>
      <c r="F319" s="262">
        <v>416914</v>
      </c>
      <c r="G319" s="262">
        <v>416914</v>
      </c>
      <c r="H319" s="262">
        <v>417964</v>
      </c>
      <c r="I319" s="262">
        <v>417964</v>
      </c>
      <c r="J319" s="262">
        <v>416914</v>
      </c>
      <c r="K319" s="262">
        <v>416914</v>
      </c>
      <c r="L319" s="262">
        <v>416914</v>
      </c>
      <c r="M319" s="262">
        <v>416914</v>
      </c>
      <c r="N319" s="262">
        <v>416914</v>
      </c>
      <c r="O319" s="262">
        <v>416914</v>
      </c>
      <c r="P319" s="262">
        <v>416914</v>
      </c>
      <c r="Q319" s="262">
        <v>416914</v>
      </c>
      <c r="R319" s="262">
        <v>416914</v>
      </c>
      <c r="S319" s="262">
        <v>416914</v>
      </c>
      <c r="T319" s="262">
        <v>416914</v>
      </c>
      <c r="U319" s="262">
        <v>416914</v>
      </c>
      <c r="V319" s="262">
        <v>416914</v>
      </c>
      <c r="W319" s="262">
        <v>416914</v>
      </c>
      <c r="X319" s="262">
        <v>101720</v>
      </c>
      <c r="Y319" s="262">
        <v>101720</v>
      </c>
      <c r="Z319" s="262">
        <v>101720</v>
      </c>
      <c r="AA319" s="262">
        <v>101720</v>
      </c>
      <c r="AB319" s="262">
        <v>101720</v>
      </c>
      <c r="AC319" s="262">
        <v>101720</v>
      </c>
      <c r="AD319" s="262">
        <v>100875</v>
      </c>
      <c r="AE319" s="262">
        <v>96549</v>
      </c>
      <c r="AF319" s="262">
        <v>93619</v>
      </c>
      <c r="AG319" s="262">
        <v>81099</v>
      </c>
      <c r="AH319" s="262">
        <v>82500</v>
      </c>
      <c r="AI319" s="262">
        <v>72997</v>
      </c>
      <c r="AJ319" s="262">
        <v>49067</v>
      </c>
      <c r="AK319" s="262">
        <v>50510</v>
      </c>
      <c r="AL319" s="262">
        <v>58183</v>
      </c>
      <c r="AM319" s="262">
        <v>82240</v>
      </c>
      <c r="AN319" s="262">
        <v>193448</v>
      </c>
      <c r="AO319" s="262">
        <v>198284</v>
      </c>
      <c r="AP319" s="262">
        <v>228027</v>
      </c>
      <c r="AQ319" s="262">
        <v>229312</v>
      </c>
      <c r="AR319" s="262">
        <v>231245</v>
      </c>
      <c r="AS319" s="262">
        <v>233362</v>
      </c>
      <c r="AT319" s="262">
        <v>321359</v>
      </c>
      <c r="AU319" s="262">
        <v>321483</v>
      </c>
      <c r="AV319" s="262">
        <v>322294</v>
      </c>
      <c r="AW319" s="262">
        <v>338879</v>
      </c>
      <c r="AX319" s="262">
        <v>348886</v>
      </c>
      <c r="AY319" s="262">
        <v>354036</v>
      </c>
      <c r="AZ319" s="262">
        <v>370351</v>
      </c>
      <c r="BA319" s="262">
        <v>381665</v>
      </c>
      <c r="BB319" s="262">
        <v>377427</v>
      </c>
      <c r="BC319" s="262">
        <v>199890</v>
      </c>
      <c r="BD319" s="262">
        <v>278597</v>
      </c>
      <c r="BE319" s="262">
        <v>295848</v>
      </c>
      <c r="BF319" s="262">
        <v>-171877</v>
      </c>
    </row>
    <row r="320" spans="1:58" x14ac:dyDescent="0.3">
      <c r="A320" s="260" t="s">
        <v>940</v>
      </c>
      <c r="B320" s="262">
        <v>0</v>
      </c>
      <c r="C320" s="262">
        <v>0</v>
      </c>
      <c r="D320" s="262">
        <v>0</v>
      </c>
      <c r="E320" s="262">
        <v>0</v>
      </c>
      <c r="F320" s="262">
        <v>0</v>
      </c>
      <c r="G320" s="262">
        <v>0</v>
      </c>
      <c r="H320" s="262">
        <v>0</v>
      </c>
      <c r="I320" s="262">
        <v>0</v>
      </c>
      <c r="J320" s="262">
        <v>0</v>
      </c>
      <c r="K320" s="262">
        <v>0</v>
      </c>
      <c r="L320" s="262">
        <v>0</v>
      </c>
      <c r="M320" s="262">
        <v>0</v>
      </c>
      <c r="N320" s="262">
        <v>0</v>
      </c>
      <c r="O320" s="262">
        <v>0</v>
      </c>
      <c r="P320" s="262">
        <v>0</v>
      </c>
      <c r="Q320" s="262">
        <v>0</v>
      </c>
      <c r="R320" s="262">
        <v>0</v>
      </c>
      <c r="S320" s="262">
        <v>0</v>
      </c>
      <c r="T320" s="262">
        <v>0</v>
      </c>
      <c r="U320" s="262">
        <v>0</v>
      </c>
      <c r="V320" s="262">
        <v>0</v>
      </c>
      <c r="W320" s="262">
        <v>0</v>
      </c>
      <c r="X320" s="262">
        <v>0</v>
      </c>
      <c r="Y320" s="262">
        <v>0</v>
      </c>
      <c r="Z320" s="262">
        <v>0</v>
      </c>
      <c r="AA320" s="262">
        <v>0</v>
      </c>
      <c r="AB320" s="262">
        <v>0</v>
      </c>
      <c r="AC320" s="262">
        <v>0</v>
      </c>
      <c r="AD320" s="262">
        <v>0</v>
      </c>
      <c r="AE320" s="262">
        <v>0</v>
      </c>
      <c r="AF320" s="262">
        <v>0</v>
      </c>
      <c r="AG320" s="262">
        <v>0</v>
      </c>
      <c r="AH320" s="262">
        <v>0</v>
      </c>
      <c r="AI320" s="262">
        <v>0</v>
      </c>
      <c r="AJ320" s="262">
        <v>0</v>
      </c>
      <c r="AK320" s="262">
        <v>0</v>
      </c>
      <c r="AL320" s="262">
        <v>0</v>
      </c>
      <c r="AM320" s="262">
        <v>0</v>
      </c>
      <c r="AN320" s="262">
        <v>0</v>
      </c>
      <c r="AO320" s="262">
        <v>0</v>
      </c>
      <c r="AP320" s="262">
        <v>0</v>
      </c>
      <c r="AQ320" s="262">
        <v>0</v>
      </c>
      <c r="AR320" s="262">
        <v>0</v>
      </c>
      <c r="AS320" s="262">
        <v>0</v>
      </c>
      <c r="AT320" s="262">
        <v>0</v>
      </c>
      <c r="AU320" s="262">
        <v>0</v>
      </c>
      <c r="AV320" s="262">
        <v>0</v>
      </c>
      <c r="AW320" s="262">
        <v>0</v>
      </c>
      <c r="AX320" s="262">
        <v>0</v>
      </c>
      <c r="AY320" s="262">
        <v>0</v>
      </c>
      <c r="AZ320" s="262">
        <v>0</v>
      </c>
      <c r="BA320" s="262">
        <v>0</v>
      </c>
      <c r="BB320" s="262">
        <v>0</v>
      </c>
      <c r="BC320" s="262">
        <v>0</v>
      </c>
      <c r="BD320" s="262">
        <v>0</v>
      </c>
      <c r="BE320" s="262">
        <v>0</v>
      </c>
      <c r="BF320" s="262">
        <v>0</v>
      </c>
    </row>
    <row r="321" spans="1:58" x14ac:dyDescent="0.3">
      <c r="A321" s="263" t="s">
        <v>1047</v>
      </c>
      <c r="B321" s="259">
        <v>0</v>
      </c>
      <c r="C321" s="259">
        <v>0</v>
      </c>
      <c r="D321" s="259">
        <v>0</v>
      </c>
      <c r="E321" s="259">
        <v>0</v>
      </c>
      <c r="F321" s="259">
        <v>0</v>
      </c>
      <c r="G321" s="259">
        <v>0</v>
      </c>
      <c r="H321" s="259">
        <v>0</v>
      </c>
      <c r="I321" s="259">
        <v>0</v>
      </c>
      <c r="J321" s="259">
        <v>0</v>
      </c>
      <c r="K321" s="259">
        <v>0</v>
      </c>
      <c r="L321" s="259">
        <v>0</v>
      </c>
      <c r="M321" s="259">
        <v>0</v>
      </c>
      <c r="N321" s="259">
        <v>0</v>
      </c>
      <c r="O321" s="259">
        <v>0</v>
      </c>
      <c r="P321" s="259">
        <v>0</v>
      </c>
      <c r="Q321" s="259">
        <v>0</v>
      </c>
      <c r="R321" s="259">
        <v>0</v>
      </c>
      <c r="S321" s="259">
        <v>0</v>
      </c>
      <c r="T321" s="259">
        <v>0</v>
      </c>
      <c r="U321" s="259">
        <v>0</v>
      </c>
      <c r="V321" s="259">
        <v>0</v>
      </c>
      <c r="W321" s="259">
        <v>0</v>
      </c>
      <c r="X321" s="259">
        <v>0</v>
      </c>
      <c r="Y321" s="259">
        <v>0</v>
      </c>
      <c r="Z321" s="259">
        <v>0</v>
      </c>
      <c r="AA321" s="259">
        <v>0</v>
      </c>
      <c r="AB321" s="259">
        <v>0</v>
      </c>
      <c r="AC321" s="259">
        <v>0</v>
      </c>
      <c r="AD321" s="259">
        <v>0</v>
      </c>
      <c r="AE321" s="259">
        <v>0</v>
      </c>
      <c r="AF321" s="259">
        <v>0</v>
      </c>
      <c r="AG321" s="259">
        <v>0</v>
      </c>
      <c r="AH321" s="259">
        <v>0</v>
      </c>
      <c r="AI321" s="259">
        <v>0</v>
      </c>
      <c r="AJ321" s="259">
        <v>0</v>
      </c>
      <c r="AK321" s="259">
        <v>0</v>
      </c>
      <c r="AL321" s="259">
        <v>0</v>
      </c>
      <c r="AM321" s="259">
        <v>0</v>
      </c>
      <c r="AN321" s="259">
        <v>0</v>
      </c>
      <c r="AO321" s="259">
        <v>0</v>
      </c>
      <c r="AP321" s="259">
        <v>0</v>
      </c>
      <c r="AQ321" s="259">
        <v>0</v>
      </c>
      <c r="AR321" s="259">
        <v>0</v>
      </c>
      <c r="AS321" s="259">
        <v>0</v>
      </c>
      <c r="AT321" s="259">
        <v>0</v>
      </c>
      <c r="AU321" s="259">
        <v>0</v>
      </c>
      <c r="AV321" s="259">
        <v>0</v>
      </c>
      <c r="AW321" s="259">
        <v>0</v>
      </c>
      <c r="AX321" s="259">
        <v>0</v>
      </c>
      <c r="AY321" s="259">
        <v>0</v>
      </c>
      <c r="AZ321" s="259">
        <v>0</v>
      </c>
      <c r="BA321" s="259">
        <v>0</v>
      </c>
      <c r="BB321" s="259">
        <v>0</v>
      </c>
      <c r="BC321" s="259">
        <v>0</v>
      </c>
      <c r="BD321" s="259">
        <v>0</v>
      </c>
      <c r="BE321" s="259">
        <v>0</v>
      </c>
      <c r="BF321" s="259">
        <v>0</v>
      </c>
    </row>
    <row r="322" spans="1:58" x14ac:dyDescent="0.3">
      <c r="A322" s="263" t="s">
        <v>1048</v>
      </c>
      <c r="B322" s="259">
        <v>0</v>
      </c>
      <c r="C322" s="259">
        <v>0</v>
      </c>
      <c r="D322" s="259">
        <v>0</v>
      </c>
      <c r="E322" s="259">
        <v>0</v>
      </c>
      <c r="F322" s="259">
        <v>0</v>
      </c>
      <c r="G322" s="259">
        <v>0</v>
      </c>
      <c r="H322" s="259">
        <v>0</v>
      </c>
      <c r="I322" s="259">
        <v>0</v>
      </c>
      <c r="J322" s="259">
        <v>0</v>
      </c>
      <c r="K322" s="259">
        <v>0</v>
      </c>
      <c r="L322" s="259">
        <v>0</v>
      </c>
      <c r="M322" s="259">
        <v>0</v>
      </c>
      <c r="N322" s="259">
        <v>0</v>
      </c>
      <c r="O322" s="259">
        <v>0</v>
      </c>
      <c r="P322" s="259">
        <v>0</v>
      </c>
      <c r="Q322" s="259">
        <v>0</v>
      </c>
      <c r="R322" s="259">
        <v>0</v>
      </c>
      <c r="S322" s="259">
        <v>0</v>
      </c>
      <c r="T322" s="259">
        <v>0</v>
      </c>
      <c r="U322" s="259">
        <v>0</v>
      </c>
      <c r="V322" s="259">
        <v>0</v>
      </c>
      <c r="W322" s="259">
        <v>0</v>
      </c>
      <c r="X322" s="259">
        <v>0</v>
      </c>
      <c r="Y322" s="259">
        <v>0</v>
      </c>
      <c r="Z322" s="259">
        <v>0</v>
      </c>
      <c r="AA322" s="259">
        <v>0</v>
      </c>
      <c r="AB322" s="259">
        <v>0</v>
      </c>
      <c r="AC322" s="259">
        <v>0</v>
      </c>
      <c r="AD322" s="259">
        <v>0</v>
      </c>
      <c r="AE322" s="259">
        <v>0</v>
      </c>
      <c r="AF322" s="259">
        <v>0</v>
      </c>
      <c r="AG322" s="259">
        <v>0</v>
      </c>
      <c r="AH322" s="259">
        <v>0</v>
      </c>
      <c r="AI322" s="259">
        <v>0</v>
      </c>
      <c r="AJ322" s="259">
        <v>0</v>
      </c>
      <c r="AK322" s="259">
        <v>0</v>
      </c>
      <c r="AL322" s="259">
        <v>0</v>
      </c>
      <c r="AM322" s="259">
        <v>0</v>
      </c>
      <c r="AN322" s="259">
        <v>0</v>
      </c>
      <c r="AO322" s="259">
        <v>0</v>
      </c>
      <c r="AP322" s="259">
        <v>0</v>
      </c>
      <c r="AQ322" s="259">
        <v>0</v>
      </c>
      <c r="AR322" s="259">
        <v>0</v>
      </c>
      <c r="AS322" s="259">
        <v>0</v>
      </c>
      <c r="AT322" s="259">
        <v>0</v>
      </c>
      <c r="AU322" s="259">
        <v>0</v>
      </c>
      <c r="AV322" s="259">
        <v>0</v>
      </c>
      <c r="AW322" s="259">
        <v>0</v>
      </c>
      <c r="AX322" s="259">
        <v>0</v>
      </c>
      <c r="AY322" s="259">
        <v>0</v>
      </c>
      <c r="AZ322" s="259">
        <v>0</v>
      </c>
      <c r="BA322" s="259">
        <v>0</v>
      </c>
      <c r="BB322" s="259">
        <v>0</v>
      </c>
      <c r="BC322" s="259">
        <v>0</v>
      </c>
      <c r="BD322" s="259">
        <v>0</v>
      </c>
      <c r="BE322" s="259">
        <v>0</v>
      </c>
      <c r="BF322" s="259">
        <v>0</v>
      </c>
    </row>
    <row r="323" spans="1:58" x14ac:dyDescent="0.3">
      <c r="A323" s="260" t="s">
        <v>941</v>
      </c>
      <c r="B323" s="262">
        <v>-303</v>
      </c>
      <c r="C323" s="262">
        <v>-210</v>
      </c>
      <c r="D323" s="262">
        <v>0</v>
      </c>
      <c r="E323" s="262">
        <v>0</v>
      </c>
      <c r="F323" s="262">
        <v>0</v>
      </c>
      <c r="G323" s="262">
        <v>0</v>
      </c>
      <c r="H323" s="262">
        <v>0</v>
      </c>
      <c r="I323" s="262">
        <v>0</v>
      </c>
      <c r="J323" s="262">
        <v>0</v>
      </c>
      <c r="K323" s="262">
        <v>0</v>
      </c>
      <c r="L323" s="262">
        <v>0</v>
      </c>
      <c r="M323" s="262">
        <v>0</v>
      </c>
      <c r="N323" s="262">
        <v>0</v>
      </c>
      <c r="O323" s="262">
        <v>0</v>
      </c>
      <c r="P323" s="262">
        <v>0</v>
      </c>
      <c r="Q323" s="262">
        <v>0</v>
      </c>
      <c r="R323" s="262">
        <v>0</v>
      </c>
      <c r="S323" s="262">
        <v>0</v>
      </c>
      <c r="T323" s="262">
        <v>0</v>
      </c>
      <c r="U323" s="262">
        <v>0</v>
      </c>
      <c r="V323" s="262">
        <v>0</v>
      </c>
      <c r="W323" s="262">
        <v>0</v>
      </c>
      <c r="X323" s="262">
        <v>0</v>
      </c>
      <c r="Y323" s="262">
        <v>0</v>
      </c>
      <c r="Z323" s="262">
        <v>0</v>
      </c>
      <c r="AA323" s="262">
        <v>0</v>
      </c>
      <c r="AB323" s="262">
        <v>0</v>
      </c>
      <c r="AC323" s="262">
        <v>0</v>
      </c>
      <c r="AD323" s="262">
        <v>0</v>
      </c>
      <c r="AE323" s="262">
        <v>0</v>
      </c>
      <c r="AF323" s="262">
        <v>0</v>
      </c>
      <c r="AG323" s="262">
        <v>0</v>
      </c>
      <c r="AH323" s="262">
        <v>0</v>
      </c>
      <c r="AI323" s="262">
        <v>0</v>
      </c>
      <c r="AJ323" s="262">
        <v>0</v>
      </c>
      <c r="AK323" s="262">
        <v>0</v>
      </c>
      <c r="AL323" s="262">
        <v>0</v>
      </c>
      <c r="AM323" s="262">
        <v>0</v>
      </c>
      <c r="AN323" s="262">
        <v>0</v>
      </c>
      <c r="AO323" s="262">
        <v>0</v>
      </c>
      <c r="AP323" s="262">
        <v>0</v>
      </c>
      <c r="AQ323" s="262">
        <v>0</v>
      </c>
      <c r="AR323" s="262">
        <v>0</v>
      </c>
      <c r="AS323" s="262">
        <v>0</v>
      </c>
      <c r="AT323" s="262">
        <v>0</v>
      </c>
      <c r="AU323" s="262">
        <v>0</v>
      </c>
      <c r="AV323" s="262">
        <v>0</v>
      </c>
      <c r="AW323" s="262">
        <v>0</v>
      </c>
      <c r="AX323" s="262">
        <v>255381</v>
      </c>
      <c r="AY323" s="262">
        <v>255381</v>
      </c>
      <c r="AZ323" s="262">
        <v>255381</v>
      </c>
      <c r="BA323" s="262">
        <v>255381</v>
      </c>
      <c r="BB323" s="262">
        <v>3682453</v>
      </c>
      <c r="BC323" s="262">
        <v>3682453</v>
      </c>
      <c r="BD323" s="262">
        <v>3256052</v>
      </c>
      <c r="BE323" s="262">
        <v>3256052</v>
      </c>
      <c r="BF323" s="262">
        <v>8801741</v>
      </c>
    </row>
    <row r="324" spans="1:58" x14ac:dyDescent="0.3">
      <c r="A324" s="263" t="s">
        <v>942</v>
      </c>
      <c r="B324" s="259">
        <v>0</v>
      </c>
      <c r="C324" s="259">
        <v>0</v>
      </c>
      <c r="D324" s="259">
        <v>0</v>
      </c>
      <c r="E324" s="259">
        <v>0</v>
      </c>
      <c r="F324" s="259">
        <v>0</v>
      </c>
      <c r="G324" s="259">
        <v>0</v>
      </c>
      <c r="H324" s="259">
        <v>0</v>
      </c>
      <c r="I324" s="259">
        <v>0</v>
      </c>
      <c r="J324" s="259">
        <v>0</v>
      </c>
      <c r="K324" s="259">
        <v>0</v>
      </c>
      <c r="L324" s="259">
        <v>0</v>
      </c>
      <c r="M324" s="259">
        <v>0</v>
      </c>
      <c r="N324" s="259">
        <v>0</v>
      </c>
      <c r="O324" s="259">
        <v>0</v>
      </c>
      <c r="P324" s="259">
        <v>0</v>
      </c>
      <c r="Q324" s="259">
        <v>0</v>
      </c>
      <c r="R324" s="259">
        <v>0</v>
      </c>
      <c r="S324" s="259">
        <v>0</v>
      </c>
      <c r="T324" s="259">
        <v>0</v>
      </c>
      <c r="U324" s="259">
        <v>0</v>
      </c>
      <c r="V324" s="259">
        <v>0</v>
      </c>
      <c r="W324" s="259">
        <v>0</v>
      </c>
      <c r="X324" s="259">
        <v>0</v>
      </c>
      <c r="Y324" s="259">
        <v>0</v>
      </c>
      <c r="Z324" s="259">
        <v>0</v>
      </c>
      <c r="AA324" s="259">
        <v>0</v>
      </c>
      <c r="AB324" s="259">
        <v>0</v>
      </c>
      <c r="AC324" s="259">
        <v>0</v>
      </c>
      <c r="AD324" s="259">
        <v>0</v>
      </c>
      <c r="AE324" s="259">
        <v>0</v>
      </c>
      <c r="AF324" s="259">
        <v>0</v>
      </c>
      <c r="AG324" s="259">
        <v>0</v>
      </c>
      <c r="AH324" s="259">
        <v>0</v>
      </c>
      <c r="AI324" s="259">
        <v>0</v>
      </c>
      <c r="AJ324" s="259">
        <v>0</v>
      </c>
      <c r="AK324" s="259">
        <v>0</v>
      </c>
      <c r="AL324" s="259">
        <v>0</v>
      </c>
      <c r="AM324" s="259">
        <v>0</v>
      </c>
      <c r="AN324" s="259">
        <v>0</v>
      </c>
      <c r="AO324" s="259">
        <v>0</v>
      </c>
      <c r="AP324" s="259">
        <v>0</v>
      </c>
      <c r="AQ324" s="259">
        <v>0</v>
      </c>
      <c r="AR324" s="259">
        <v>0</v>
      </c>
      <c r="AS324" s="259">
        <v>0</v>
      </c>
      <c r="AT324" s="259">
        <v>0</v>
      </c>
      <c r="AU324" s="259">
        <v>0</v>
      </c>
      <c r="AV324" s="259">
        <v>0</v>
      </c>
      <c r="AW324" s="259">
        <v>0</v>
      </c>
      <c r="AX324" s="259">
        <v>12769</v>
      </c>
      <c r="AY324" s="259">
        <v>12769</v>
      </c>
      <c r="AZ324" s="259">
        <v>12769</v>
      </c>
      <c r="BA324" s="259">
        <v>12769</v>
      </c>
      <c r="BB324" s="259">
        <v>184123</v>
      </c>
      <c r="BC324" s="259">
        <v>12769</v>
      </c>
      <c r="BD324" s="259">
        <v>12769</v>
      </c>
      <c r="BE324" s="259">
        <v>12769</v>
      </c>
      <c r="BF324" s="259">
        <v>443118</v>
      </c>
    </row>
    <row r="325" spans="1:58" x14ac:dyDescent="0.3">
      <c r="A325" s="263" t="s">
        <v>943</v>
      </c>
      <c r="B325" s="259">
        <v>0</v>
      </c>
      <c r="C325" s="259">
        <v>0</v>
      </c>
      <c r="D325" s="259">
        <v>0</v>
      </c>
      <c r="E325" s="259">
        <v>0</v>
      </c>
      <c r="F325" s="259">
        <v>0</v>
      </c>
      <c r="G325" s="259">
        <v>0</v>
      </c>
      <c r="H325" s="259">
        <v>0</v>
      </c>
      <c r="I325" s="259">
        <v>0</v>
      </c>
      <c r="J325" s="259">
        <v>0</v>
      </c>
      <c r="K325" s="259">
        <v>0</v>
      </c>
      <c r="L325" s="259">
        <v>0</v>
      </c>
      <c r="M325" s="259">
        <v>0</v>
      </c>
      <c r="N325" s="259">
        <v>0</v>
      </c>
      <c r="O325" s="259">
        <v>0</v>
      </c>
      <c r="P325" s="259">
        <v>0</v>
      </c>
      <c r="Q325" s="259">
        <v>0</v>
      </c>
      <c r="R325" s="259">
        <v>0</v>
      </c>
      <c r="S325" s="259">
        <v>0</v>
      </c>
      <c r="T325" s="259">
        <v>0</v>
      </c>
      <c r="U325" s="259">
        <v>0</v>
      </c>
      <c r="V325" s="259">
        <v>0</v>
      </c>
      <c r="W325" s="259">
        <v>0</v>
      </c>
      <c r="X325" s="259">
        <v>0</v>
      </c>
      <c r="Y325" s="259">
        <v>0</v>
      </c>
      <c r="Z325" s="259">
        <v>0</v>
      </c>
      <c r="AA325" s="259">
        <v>0</v>
      </c>
      <c r="AB325" s="259">
        <v>0</v>
      </c>
      <c r="AC325" s="259">
        <v>0</v>
      </c>
      <c r="AD325" s="259">
        <v>0</v>
      </c>
      <c r="AE325" s="259">
        <v>0</v>
      </c>
      <c r="AF325" s="259">
        <v>0</v>
      </c>
      <c r="AG325" s="259">
        <v>0</v>
      </c>
      <c r="AH325" s="259">
        <v>0</v>
      </c>
      <c r="AI325" s="259">
        <v>0</v>
      </c>
      <c r="AJ325" s="259">
        <v>0</v>
      </c>
      <c r="AK325" s="259">
        <v>0</v>
      </c>
      <c r="AL325" s="259">
        <v>0</v>
      </c>
      <c r="AM325" s="259">
        <v>0</v>
      </c>
      <c r="AN325" s="259">
        <v>0</v>
      </c>
      <c r="AO325" s="259">
        <v>0</v>
      </c>
      <c r="AP325" s="259">
        <v>0</v>
      </c>
      <c r="AQ325" s="259">
        <v>0</v>
      </c>
      <c r="AR325" s="259">
        <v>0</v>
      </c>
      <c r="AS325" s="259">
        <v>0</v>
      </c>
      <c r="AT325" s="259">
        <v>0</v>
      </c>
      <c r="AU325" s="259">
        <v>0</v>
      </c>
      <c r="AV325" s="259">
        <v>0</v>
      </c>
      <c r="AW325" s="259">
        <v>0</v>
      </c>
      <c r="AX325" s="259">
        <v>0</v>
      </c>
      <c r="AY325" s="259">
        <v>0</v>
      </c>
      <c r="AZ325" s="259">
        <v>0</v>
      </c>
      <c r="BA325" s="259">
        <v>0</v>
      </c>
      <c r="BB325" s="259">
        <v>0</v>
      </c>
      <c r="BC325" s="259">
        <v>181958</v>
      </c>
      <c r="BD325" s="259">
        <v>181958</v>
      </c>
      <c r="BE325" s="259">
        <v>181958</v>
      </c>
      <c r="BF325" s="259">
        <v>0</v>
      </c>
    </row>
    <row r="326" spans="1:58" x14ac:dyDescent="0.3">
      <c r="A326" s="263" t="s">
        <v>944</v>
      </c>
      <c r="B326" s="259">
        <v>0</v>
      </c>
      <c r="C326" s="259">
        <v>0</v>
      </c>
      <c r="D326" s="259">
        <v>0</v>
      </c>
      <c r="E326" s="259">
        <v>0</v>
      </c>
      <c r="F326" s="259">
        <v>0</v>
      </c>
      <c r="G326" s="259">
        <v>0</v>
      </c>
      <c r="H326" s="259">
        <v>0</v>
      </c>
      <c r="I326" s="259">
        <v>0</v>
      </c>
      <c r="J326" s="259">
        <v>0</v>
      </c>
      <c r="K326" s="259">
        <v>0</v>
      </c>
      <c r="L326" s="259">
        <v>0</v>
      </c>
      <c r="M326" s="259">
        <v>0</v>
      </c>
      <c r="N326" s="259">
        <v>0</v>
      </c>
      <c r="O326" s="259">
        <v>0</v>
      </c>
      <c r="P326" s="259">
        <v>0</v>
      </c>
      <c r="Q326" s="259">
        <v>0</v>
      </c>
      <c r="R326" s="259">
        <v>0</v>
      </c>
      <c r="S326" s="259">
        <v>0</v>
      </c>
      <c r="T326" s="259">
        <v>0</v>
      </c>
      <c r="U326" s="259">
        <v>0</v>
      </c>
      <c r="V326" s="259">
        <v>0</v>
      </c>
      <c r="W326" s="259">
        <v>0</v>
      </c>
      <c r="X326" s="259">
        <v>0</v>
      </c>
      <c r="Y326" s="259">
        <v>0</v>
      </c>
      <c r="Z326" s="259">
        <v>0</v>
      </c>
      <c r="AA326" s="259">
        <v>0</v>
      </c>
      <c r="AB326" s="259">
        <v>0</v>
      </c>
      <c r="AC326" s="259">
        <v>0</v>
      </c>
      <c r="AD326" s="259">
        <v>0</v>
      </c>
      <c r="AE326" s="259">
        <v>0</v>
      </c>
      <c r="AF326" s="259">
        <v>0</v>
      </c>
      <c r="AG326" s="259">
        <v>0</v>
      </c>
      <c r="AH326" s="259">
        <v>0</v>
      </c>
      <c r="AI326" s="259">
        <v>0</v>
      </c>
      <c r="AJ326" s="259">
        <v>0</v>
      </c>
      <c r="AK326" s="259">
        <v>0</v>
      </c>
      <c r="AL326" s="259">
        <v>0</v>
      </c>
      <c r="AM326" s="259">
        <v>0</v>
      </c>
      <c r="AN326" s="259">
        <v>0</v>
      </c>
      <c r="AO326" s="259">
        <v>0</v>
      </c>
      <c r="AP326" s="259">
        <v>0</v>
      </c>
      <c r="AQ326" s="259">
        <v>0</v>
      </c>
      <c r="AR326" s="259">
        <v>0</v>
      </c>
      <c r="AS326" s="259">
        <v>0</v>
      </c>
      <c r="AT326" s="259">
        <v>0</v>
      </c>
      <c r="AU326" s="259">
        <v>0</v>
      </c>
      <c r="AV326" s="259">
        <v>0</v>
      </c>
      <c r="AW326" s="259">
        <v>0</v>
      </c>
      <c r="AX326" s="259">
        <v>0</v>
      </c>
      <c r="AY326" s="259">
        <v>0</v>
      </c>
      <c r="AZ326" s="259">
        <v>0</v>
      </c>
      <c r="BA326" s="259">
        <v>0</v>
      </c>
      <c r="BB326" s="259">
        <v>0</v>
      </c>
      <c r="BC326" s="259">
        <v>0</v>
      </c>
      <c r="BD326" s="259">
        <v>0</v>
      </c>
      <c r="BE326" s="259">
        <v>0</v>
      </c>
      <c r="BF326" s="259">
        <v>0</v>
      </c>
    </row>
    <row r="327" spans="1:58" x14ac:dyDescent="0.3">
      <c r="A327" s="263" t="s">
        <v>945</v>
      </c>
      <c r="B327" s="259">
        <v>0</v>
      </c>
      <c r="C327" s="259">
        <v>0</v>
      </c>
      <c r="D327" s="259">
        <v>0</v>
      </c>
      <c r="E327" s="259">
        <v>0</v>
      </c>
      <c r="F327" s="259">
        <v>0</v>
      </c>
      <c r="G327" s="259">
        <v>0</v>
      </c>
      <c r="H327" s="259">
        <v>0</v>
      </c>
      <c r="I327" s="259">
        <v>0</v>
      </c>
      <c r="J327" s="259">
        <v>0</v>
      </c>
      <c r="K327" s="259">
        <v>0</v>
      </c>
      <c r="L327" s="259">
        <v>0</v>
      </c>
      <c r="M327" s="259">
        <v>0</v>
      </c>
      <c r="N327" s="259">
        <v>0</v>
      </c>
      <c r="O327" s="259">
        <v>0</v>
      </c>
      <c r="P327" s="259">
        <v>0</v>
      </c>
      <c r="Q327" s="259">
        <v>0</v>
      </c>
      <c r="R327" s="259">
        <v>0</v>
      </c>
      <c r="S327" s="259">
        <v>0</v>
      </c>
      <c r="T327" s="259">
        <v>0</v>
      </c>
      <c r="U327" s="259">
        <v>0</v>
      </c>
      <c r="V327" s="259">
        <v>0</v>
      </c>
      <c r="W327" s="259">
        <v>0</v>
      </c>
      <c r="X327" s="259">
        <v>0</v>
      </c>
      <c r="Y327" s="259">
        <v>0</v>
      </c>
      <c r="Z327" s="259">
        <v>0</v>
      </c>
      <c r="AA327" s="259">
        <v>0</v>
      </c>
      <c r="AB327" s="259">
        <v>0</v>
      </c>
      <c r="AC327" s="259">
        <v>0</v>
      </c>
      <c r="AD327" s="259">
        <v>0</v>
      </c>
      <c r="AE327" s="259">
        <v>0</v>
      </c>
      <c r="AF327" s="259">
        <v>0</v>
      </c>
      <c r="AG327" s="259">
        <v>0</v>
      </c>
      <c r="AH327" s="259">
        <v>0</v>
      </c>
      <c r="AI327" s="259">
        <v>0</v>
      </c>
      <c r="AJ327" s="259">
        <v>0</v>
      </c>
      <c r="AK327" s="259">
        <v>0</v>
      </c>
      <c r="AL327" s="259">
        <v>0</v>
      </c>
      <c r="AM327" s="259">
        <v>0</v>
      </c>
      <c r="AN327" s="259">
        <v>0</v>
      </c>
      <c r="AO327" s="259">
        <v>0</v>
      </c>
      <c r="AP327" s="259">
        <v>0</v>
      </c>
      <c r="AQ327" s="259">
        <v>0</v>
      </c>
      <c r="AR327" s="259">
        <v>0</v>
      </c>
      <c r="AS327" s="259">
        <v>0</v>
      </c>
      <c r="AT327" s="259">
        <v>0</v>
      </c>
      <c r="AU327" s="259">
        <v>0</v>
      </c>
      <c r="AV327" s="259">
        <v>0</v>
      </c>
      <c r="AW327" s="259">
        <v>0</v>
      </c>
      <c r="AX327" s="259">
        <v>60655</v>
      </c>
      <c r="AY327" s="259">
        <v>60655</v>
      </c>
      <c r="AZ327" s="259">
        <v>60655</v>
      </c>
      <c r="BA327" s="259">
        <v>60655</v>
      </c>
      <c r="BB327" s="259">
        <v>60688</v>
      </c>
      <c r="BC327" s="259">
        <v>60655</v>
      </c>
      <c r="BD327" s="259">
        <v>60655</v>
      </c>
      <c r="BE327" s="259">
        <v>60655</v>
      </c>
      <c r="BF327" s="259">
        <v>120</v>
      </c>
    </row>
    <row r="328" spans="1:58" x14ac:dyDescent="0.3">
      <c r="A328" s="263" t="s">
        <v>946</v>
      </c>
      <c r="B328" s="259">
        <v>0</v>
      </c>
      <c r="C328" s="259">
        <v>0</v>
      </c>
      <c r="D328" s="259">
        <v>0</v>
      </c>
      <c r="E328" s="259">
        <v>0</v>
      </c>
      <c r="F328" s="259">
        <v>0</v>
      </c>
      <c r="G328" s="259">
        <v>0</v>
      </c>
      <c r="H328" s="259">
        <v>0</v>
      </c>
      <c r="I328" s="259">
        <v>0</v>
      </c>
      <c r="J328" s="259">
        <v>0</v>
      </c>
      <c r="K328" s="259">
        <v>0</v>
      </c>
      <c r="L328" s="259">
        <v>0</v>
      </c>
      <c r="M328" s="259">
        <v>0</v>
      </c>
      <c r="N328" s="259">
        <v>0</v>
      </c>
      <c r="O328" s="259">
        <v>0</v>
      </c>
      <c r="P328" s="259">
        <v>0</v>
      </c>
      <c r="Q328" s="259">
        <v>0</v>
      </c>
      <c r="R328" s="259">
        <v>0</v>
      </c>
      <c r="S328" s="259">
        <v>0</v>
      </c>
      <c r="T328" s="259">
        <v>0</v>
      </c>
      <c r="U328" s="259">
        <v>0</v>
      </c>
      <c r="V328" s="259">
        <v>0</v>
      </c>
      <c r="W328" s="259">
        <v>0</v>
      </c>
      <c r="X328" s="259">
        <v>0</v>
      </c>
      <c r="Y328" s="259">
        <v>0</v>
      </c>
      <c r="Z328" s="259">
        <v>0</v>
      </c>
      <c r="AA328" s="259">
        <v>0</v>
      </c>
      <c r="AB328" s="259">
        <v>0</v>
      </c>
      <c r="AC328" s="259">
        <v>0</v>
      </c>
      <c r="AD328" s="259">
        <v>0</v>
      </c>
      <c r="AE328" s="259">
        <v>0</v>
      </c>
      <c r="AF328" s="259">
        <v>0</v>
      </c>
      <c r="AG328" s="259">
        <v>0</v>
      </c>
      <c r="AH328" s="259">
        <v>0</v>
      </c>
      <c r="AI328" s="259">
        <v>0</v>
      </c>
      <c r="AJ328" s="259">
        <v>0</v>
      </c>
      <c r="AK328" s="259">
        <v>0</v>
      </c>
      <c r="AL328" s="259">
        <v>0</v>
      </c>
      <c r="AM328" s="259">
        <v>0</v>
      </c>
      <c r="AN328" s="259">
        <v>0</v>
      </c>
      <c r="AO328" s="259">
        <v>0</v>
      </c>
      <c r="AP328" s="259">
        <v>0</v>
      </c>
      <c r="AQ328" s="259">
        <v>0</v>
      </c>
      <c r="AR328" s="259">
        <v>0</v>
      </c>
      <c r="AS328" s="259">
        <v>0</v>
      </c>
      <c r="AT328" s="259">
        <v>0</v>
      </c>
      <c r="AU328" s="259">
        <v>0</v>
      </c>
      <c r="AV328" s="259">
        <v>0</v>
      </c>
      <c r="AW328" s="259">
        <v>0</v>
      </c>
      <c r="AX328" s="259">
        <v>0</v>
      </c>
      <c r="AY328" s="259">
        <v>0</v>
      </c>
      <c r="AZ328" s="259">
        <v>0</v>
      </c>
      <c r="BA328" s="259">
        <v>0</v>
      </c>
      <c r="BB328" s="259">
        <v>0</v>
      </c>
      <c r="BC328" s="259">
        <v>0</v>
      </c>
      <c r="BD328" s="259">
        <v>0</v>
      </c>
      <c r="BE328" s="259">
        <v>0</v>
      </c>
      <c r="BF328" s="259">
        <v>0</v>
      </c>
    </row>
    <row r="329" spans="1:58" x14ac:dyDescent="0.3">
      <c r="A329" s="263" t="s">
        <v>947</v>
      </c>
      <c r="B329" s="259">
        <v>0</v>
      </c>
      <c r="C329" s="259">
        <v>0</v>
      </c>
      <c r="D329" s="259">
        <v>0</v>
      </c>
      <c r="E329" s="259">
        <v>0</v>
      </c>
      <c r="F329" s="259">
        <v>0</v>
      </c>
      <c r="G329" s="259">
        <v>0</v>
      </c>
      <c r="H329" s="259">
        <v>0</v>
      </c>
      <c r="I329" s="259">
        <v>0</v>
      </c>
      <c r="J329" s="259">
        <v>0</v>
      </c>
      <c r="K329" s="259">
        <v>0</v>
      </c>
      <c r="L329" s="259">
        <v>0</v>
      </c>
      <c r="M329" s="259">
        <v>0</v>
      </c>
      <c r="N329" s="259">
        <v>0</v>
      </c>
      <c r="O329" s="259">
        <v>0</v>
      </c>
      <c r="P329" s="259">
        <v>0</v>
      </c>
      <c r="Q329" s="259">
        <v>0</v>
      </c>
      <c r="R329" s="259">
        <v>0</v>
      </c>
      <c r="S329" s="259">
        <v>0</v>
      </c>
      <c r="T329" s="259">
        <v>0</v>
      </c>
      <c r="U329" s="259">
        <v>0</v>
      </c>
      <c r="V329" s="259">
        <v>0</v>
      </c>
      <c r="W329" s="259">
        <v>0</v>
      </c>
      <c r="X329" s="259">
        <v>0</v>
      </c>
      <c r="Y329" s="259">
        <v>0</v>
      </c>
      <c r="Z329" s="259">
        <v>0</v>
      </c>
      <c r="AA329" s="259">
        <v>0</v>
      </c>
      <c r="AB329" s="259">
        <v>0</v>
      </c>
      <c r="AC329" s="259">
        <v>0</v>
      </c>
      <c r="AD329" s="259">
        <v>0</v>
      </c>
      <c r="AE329" s="259">
        <v>0</v>
      </c>
      <c r="AF329" s="259">
        <v>0</v>
      </c>
      <c r="AG329" s="259">
        <v>0</v>
      </c>
      <c r="AH329" s="259">
        <v>0</v>
      </c>
      <c r="AI329" s="259">
        <v>0</v>
      </c>
      <c r="AJ329" s="259">
        <v>0</v>
      </c>
      <c r="AK329" s="259">
        <v>0</v>
      </c>
      <c r="AL329" s="259">
        <v>0</v>
      </c>
      <c r="AM329" s="259">
        <v>0</v>
      </c>
      <c r="AN329" s="259">
        <v>0</v>
      </c>
      <c r="AO329" s="259">
        <v>0</v>
      </c>
      <c r="AP329" s="259">
        <v>0</v>
      </c>
      <c r="AQ329" s="259">
        <v>0</v>
      </c>
      <c r="AR329" s="259">
        <v>0</v>
      </c>
      <c r="AS329" s="259">
        <v>0</v>
      </c>
      <c r="AT329" s="259">
        <v>0</v>
      </c>
      <c r="AU329" s="259">
        <v>0</v>
      </c>
      <c r="AV329" s="259">
        <v>0</v>
      </c>
      <c r="AW329" s="259">
        <v>0</v>
      </c>
      <c r="AX329" s="259">
        <v>0</v>
      </c>
      <c r="AY329" s="259">
        <v>0</v>
      </c>
      <c r="AZ329" s="259">
        <v>0</v>
      </c>
      <c r="BA329" s="259">
        <v>0</v>
      </c>
      <c r="BB329" s="259">
        <v>0</v>
      </c>
      <c r="BC329" s="259">
        <v>0</v>
      </c>
      <c r="BD329" s="259">
        <v>0</v>
      </c>
      <c r="BE329" s="259">
        <v>0</v>
      </c>
      <c r="BF329" s="259">
        <v>0</v>
      </c>
    </row>
    <row r="330" spans="1:58" x14ac:dyDescent="0.3">
      <c r="A330" s="263" t="s">
        <v>1049</v>
      </c>
      <c r="B330" s="259">
        <v>-303</v>
      </c>
      <c r="C330" s="259">
        <v>-210</v>
      </c>
      <c r="D330" s="259">
        <v>0</v>
      </c>
      <c r="E330" s="259">
        <v>0</v>
      </c>
      <c r="F330" s="259">
        <v>0</v>
      </c>
      <c r="G330" s="259">
        <v>0</v>
      </c>
      <c r="H330" s="259">
        <v>0</v>
      </c>
      <c r="I330" s="259">
        <v>0</v>
      </c>
      <c r="J330" s="259">
        <v>0</v>
      </c>
      <c r="K330" s="259">
        <v>0</v>
      </c>
      <c r="L330" s="259">
        <v>0</v>
      </c>
      <c r="M330" s="259">
        <v>0</v>
      </c>
      <c r="N330" s="259">
        <v>0</v>
      </c>
      <c r="O330" s="259">
        <v>0</v>
      </c>
      <c r="P330" s="259">
        <v>0</v>
      </c>
      <c r="Q330" s="259">
        <v>0</v>
      </c>
      <c r="R330" s="259">
        <v>0</v>
      </c>
      <c r="S330" s="259">
        <v>0</v>
      </c>
      <c r="T330" s="259">
        <v>0</v>
      </c>
      <c r="U330" s="259">
        <v>0</v>
      </c>
      <c r="V330" s="259">
        <v>0</v>
      </c>
      <c r="W330" s="259">
        <v>0</v>
      </c>
      <c r="X330" s="259">
        <v>0</v>
      </c>
      <c r="Y330" s="259">
        <v>0</v>
      </c>
      <c r="Z330" s="259">
        <v>0</v>
      </c>
      <c r="AA330" s="259">
        <v>0</v>
      </c>
      <c r="AB330" s="259">
        <v>0</v>
      </c>
      <c r="AC330" s="259">
        <v>0</v>
      </c>
      <c r="AD330" s="259">
        <v>0</v>
      </c>
      <c r="AE330" s="259">
        <v>0</v>
      </c>
      <c r="AF330" s="259">
        <v>0</v>
      </c>
      <c r="AG330" s="259">
        <v>0</v>
      </c>
      <c r="AH330" s="259">
        <v>0</v>
      </c>
      <c r="AI330" s="259">
        <v>0</v>
      </c>
      <c r="AJ330" s="259">
        <v>0</v>
      </c>
      <c r="AK330" s="259">
        <v>0</v>
      </c>
      <c r="AL330" s="259">
        <v>0</v>
      </c>
      <c r="AM330" s="259">
        <v>0</v>
      </c>
      <c r="AN330" s="259">
        <v>0</v>
      </c>
      <c r="AO330" s="259">
        <v>0</v>
      </c>
      <c r="AP330" s="259">
        <v>0</v>
      </c>
      <c r="AQ330" s="259">
        <v>0</v>
      </c>
      <c r="AR330" s="259">
        <v>0</v>
      </c>
      <c r="AS330" s="259">
        <v>0</v>
      </c>
      <c r="AT330" s="259">
        <v>0</v>
      </c>
      <c r="AU330" s="259">
        <v>0</v>
      </c>
      <c r="AV330" s="259">
        <v>0</v>
      </c>
      <c r="AW330" s="259">
        <v>0</v>
      </c>
      <c r="AX330" s="264" t="s">
        <v>792</v>
      </c>
      <c r="AY330" s="264" t="s">
        <v>792</v>
      </c>
      <c r="AZ330" s="264" t="s">
        <v>792</v>
      </c>
      <c r="BA330" s="264" t="s">
        <v>792</v>
      </c>
      <c r="BB330" s="264" t="s">
        <v>792</v>
      </c>
      <c r="BC330" s="264" t="s">
        <v>792</v>
      </c>
      <c r="BD330" s="264" t="s">
        <v>792</v>
      </c>
      <c r="BE330" s="264" t="s">
        <v>792</v>
      </c>
      <c r="BF330" s="264" t="s">
        <v>792</v>
      </c>
    </row>
    <row r="331" spans="1:58" x14ac:dyDescent="0.3">
      <c r="A331" s="260" t="s">
        <v>952</v>
      </c>
      <c r="B331" s="262">
        <v>0</v>
      </c>
      <c r="C331" s="262">
        <v>7944</v>
      </c>
      <c r="D331" s="262">
        <v>34657</v>
      </c>
      <c r="E331" s="262">
        <v>45045</v>
      </c>
      <c r="F331" s="261" t="s">
        <v>792</v>
      </c>
      <c r="G331" s="261" t="s">
        <v>792</v>
      </c>
      <c r="H331" s="261" t="s">
        <v>792</v>
      </c>
      <c r="I331" s="261" t="s">
        <v>792</v>
      </c>
      <c r="J331" s="261" t="s">
        <v>792</v>
      </c>
      <c r="K331" s="261" t="s">
        <v>792</v>
      </c>
      <c r="L331" s="261" t="s">
        <v>792</v>
      </c>
      <c r="M331" s="261" t="s">
        <v>792</v>
      </c>
      <c r="N331" s="261" t="s">
        <v>792</v>
      </c>
      <c r="O331" s="261" t="s">
        <v>792</v>
      </c>
      <c r="P331" s="261" t="s">
        <v>792</v>
      </c>
      <c r="Q331" s="261" t="s">
        <v>792</v>
      </c>
      <c r="R331" s="261" t="s">
        <v>792</v>
      </c>
      <c r="S331" s="261" t="s">
        <v>792</v>
      </c>
      <c r="T331" s="261" t="s">
        <v>792</v>
      </c>
      <c r="U331" s="261" t="s">
        <v>792</v>
      </c>
      <c r="V331" s="261" t="s">
        <v>792</v>
      </c>
      <c r="W331" s="261" t="s">
        <v>792</v>
      </c>
      <c r="X331" s="261" t="s">
        <v>792</v>
      </c>
      <c r="Y331" s="261" t="s">
        <v>792</v>
      </c>
      <c r="Z331" s="261" t="s">
        <v>792</v>
      </c>
      <c r="AA331" s="261" t="s">
        <v>792</v>
      </c>
      <c r="AB331" s="261" t="s">
        <v>792</v>
      </c>
      <c r="AC331" s="261" t="s">
        <v>792</v>
      </c>
      <c r="AD331" s="261" t="s">
        <v>792</v>
      </c>
      <c r="AE331" s="261" t="s">
        <v>792</v>
      </c>
      <c r="AF331" s="261" t="s">
        <v>792</v>
      </c>
      <c r="AG331" s="261" t="s">
        <v>792</v>
      </c>
      <c r="AH331" s="261" t="s">
        <v>792</v>
      </c>
      <c r="AI331" s="261" t="s">
        <v>792</v>
      </c>
      <c r="AJ331" s="261" t="s">
        <v>792</v>
      </c>
      <c r="AK331" s="261" t="s">
        <v>792</v>
      </c>
      <c r="AL331" s="261" t="s">
        <v>792</v>
      </c>
      <c r="AM331" s="261" t="s">
        <v>792</v>
      </c>
      <c r="AN331" s="261" t="s">
        <v>792</v>
      </c>
      <c r="AO331" s="261" t="s">
        <v>792</v>
      </c>
      <c r="AP331" s="261" t="s">
        <v>792</v>
      </c>
      <c r="AQ331" s="261" t="s">
        <v>792</v>
      </c>
      <c r="AR331" s="261" t="s">
        <v>792</v>
      </c>
      <c r="AS331" s="261" t="s">
        <v>792</v>
      </c>
      <c r="AT331" s="261" t="s">
        <v>792</v>
      </c>
      <c r="AU331" s="261" t="s">
        <v>792</v>
      </c>
      <c r="AV331" s="261" t="s">
        <v>792</v>
      </c>
      <c r="AW331" s="261" t="s">
        <v>792</v>
      </c>
      <c r="AX331" s="261" t="s">
        <v>792</v>
      </c>
      <c r="AY331" s="261" t="s">
        <v>792</v>
      </c>
      <c r="AZ331" s="261" t="s">
        <v>792</v>
      </c>
      <c r="BA331" s="261" t="s">
        <v>792</v>
      </c>
      <c r="BB331" s="261" t="s">
        <v>792</v>
      </c>
      <c r="BC331" s="261" t="s">
        <v>792</v>
      </c>
      <c r="BD331" s="261" t="s">
        <v>792</v>
      </c>
      <c r="BE331" s="261" t="s">
        <v>792</v>
      </c>
      <c r="BF331" s="261" t="s">
        <v>792</v>
      </c>
    </row>
    <row r="332" spans="1:58" x14ac:dyDescent="0.3">
      <c r="A332" s="263" t="s">
        <v>1050</v>
      </c>
      <c r="B332" s="259">
        <v>0</v>
      </c>
      <c r="C332" s="264" t="s">
        <v>792</v>
      </c>
      <c r="D332" s="264" t="s">
        <v>792</v>
      </c>
      <c r="E332" s="264" t="s">
        <v>792</v>
      </c>
      <c r="F332" s="264" t="s">
        <v>792</v>
      </c>
      <c r="G332" s="264" t="s">
        <v>792</v>
      </c>
      <c r="H332" s="264" t="s">
        <v>792</v>
      </c>
      <c r="I332" s="264" t="s">
        <v>792</v>
      </c>
      <c r="J332" s="264" t="s">
        <v>792</v>
      </c>
      <c r="K332" s="264" t="s">
        <v>792</v>
      </c>
      <c r="L332" s="264" t="s">
        <v>792</v>
      </c>
      <c r="M332" s="264" t="s">
        <v>792</v>
      </c>
      <c r="N332" s="264" t="s">
        <v>792</v>
      </c>
      <c r="O332" s="264" t="s">
        <v>792</v>
      </c>
      <c r="P332" s="264" t="s">
        <v>792</v>
      </c>
      <c r="Q332" s="264" t="s">
        <v>792</v>
      </c>
      <c r="R332" s="264" t="s">
        <v>792</v>
      </c>
      <c r="S332" s="264" t="s">
        <v>792</v>
      </c>
      <c r="T332" s="264" t="s">
        <v>792</v>
      </c>
      <c r="U332" s="264" t="s">
        <v>792</v>
      </c>
      <c r="V332" s="264" t="s">
        <v>792</v>
      </c>
      <c r="W332" s="264" t="s">
        <v>792</v>
      </c>
      <c r="X332" s="264" t="s">
        <v>792</v>
      </c>
      <c r="Y332" s="264" t="s">
        <v>792</v>
      </c>
      <c r="Z332" s="264" t="s">
        <v>792</v>
      </c>
      <c r="AA332" s="264" t="s">
        <v>792</v>
      </c>
      <c r="AB332" s="264" t="s">
        <v>792</v>
      </c>
      <c r="AC332" s="264" t="s">
        <v>792</v>
      </c>
      <c r="AD332" s="264" t="s">
        <v>792</v>
      </c>
      <c r="AE332" s="264" t="s">
        <v>792</v>
      </c>
      <c r="AF332" s="264" t="s">
        <v>792</v>
      </c>
      <c r="AG332" s="264" t="s">
        <v>792</v>
      </c>
      <c r="AH332" s="264" t="s">
        <v>792</v>
      </c>
      <c r="AI332" s="264" t="s">
        <v>792</v>
      </c>
      <c r="AJ332" s="264" t="s">
        <v>792</v>
      </c>
      <c r="AK332" s="264" t="s">
        <v>792</v>
      </c>
      <c r="AL332" s="264" t="s">
        <v>792</v>
      </c>
      <c r="AM332" s="264" t="s">
        <v>792</v>
      </c>
      <c r="AN332" s="264" t="s">
        <v>792</v>
      </c>
      <c r="AO332" s="264" t="s">
        <v>792</v>
      </c>
      <c r="AP332" s="264" t="s">
        <v>792</v>
      </c>
      <c r="AQ332" s="264" t="s">
        <v>792</v>
      </c>
      <c r="AR332" s="264" t="s">
        <v>792</v>
      </c>
      <c r="AS332" s="264" t="s">
        <v>792</v>
      </c>
      <c r="AT332" s="264" t="s">
        <v>792</v>
      </c>
      <c r="AU332" s="264" t="s">
        <v>792</v>
      </c>
      <c r="AV332" s="264" t="s">
        <v>792</v>
      </c>
      <c r="AW332" s="264" t="s">
        <v>792</v>
      </c>
      <c r="AX332" s="264" t="s">
        <v>792</v>
      </c>
      <c r="AY332" s="264" t="s">
        <v>792</v>
      </c>
      <c r="AZ332" s="264" t="s">
        <v>792</v>
      </c>
      <c r="BA332" s="264" t="s">
        <v>792</v>
      </c>
      <c r="BB332" s="264" t="s">
        <v>792</v>
      </c>
      <c r="BC332" s="264" t="s">
        <v>792</v>
      </c>
      <c r="BD332" s="264" t="s">
        <v>792</v>
      </c>
      <c r="BE332" s="264" t="s">
        <v>792</v>
      </c>
      <c r="BF332" s="264" t="s">
        <v>792</v>
      </c>
    </row>
    <row r="333" spans="1:58" x14ac:dyDescent="0.3">
      <c r="A333" s="263" t="s">
        <v>953</v>
      </c>
      <c r="B333" s="259">
        <v>0</v>
      </c>
      <c r="C333" s="264" t="s">
        <v>792</v>
      </c>
      <c r="D333" s="264" t="s">
        <v>792</v>
      </c>
      <c r="E333" s="264" t="s">
        <v>792</v>
      </c>
      <c r="F333" s="264" t="s">
        <v>792</v>
      </c>
      <c r="G333" s="264" t="s">
        <v>792</v>
      </c>
      <c r="H333" s="264" t="s">
        <v>792</v>
      </c>
      <c r="I333" s="264" t="s">
        <v>792</v>
      </c>
      <c r="J333" s="264" t="s">
        <v>792</v>
      </c>
      <c r="K333" s="264" t="s">
        <v>792</v>
      </c>
      <c r="L333" s="264" t="s">
        <v>792</v>
      </c>
      <c r="M333" s="264" t="s">
        <v>792</v>
      </c>
      <c r="N333" s="264" t="s">
        <v>792</v>
      </c>
      <c r="O333" s="264" t="s">
        <v>792</v>
      </c>
      <c r="P333" s="264" t="s">
        <v>792</v>
      </c>
      <c r="Q333" s="264" t="s">
        <v>792</v>
      </c>
      <c r="R333" s="264" t="s">
        <v>792</v>
      </c>
      <c r="S333" s="264" t="s">
        <v>792</v>
      </c>
      <c r="T333" s="264" t="s">
        <v>792</v>
      </c>
      <c r="U333" s="264" t="s">
        <v>792</v>
      </c>
      <c r="V333" s="264" t="s">
        <v>792</v>
      </c>
      <c r="W333" s="264" t="s">
        <v>792</v>
      </c>
      <c r="X333" s="264" t="s">
        <v>792</v>
      </c>
      <c r="Y333" s="264" t="s">
        <v>792</v>
      </c>
      <c r="Z333" s="264" t="s">
        <v>792</v>
      </c>
      <c r="AA333" s="264" t="s">
        <v>792</v>
      </c>
      <c r="AB333" s="264" t="s">
        <v>792</v>
      </c>
      <c r="AC333" s="264" t="s">
        <v>792</v>
      </c>
      <c r="AD333" s="264" t="s">
        <v>792</v>
      </c>
      <c r="AE333" s="264" t="s">
        <v>792</v>
      </c>
      <c r="AF333" s="264" t="s">
        <v>792</v>
      </c>
      <c r="AG333" s="264" t="s">
        <v>792</v>
      </c>
      <c r="AH333" s="264" t="s">
        <v>792</v>
      </c>
      <c r="AI333" s="264" t="s">
        <v>792</v>
      </c>
      <c r="AJ333" s="264" t="s">
        <v>792</v>
      </c>
      <c r="AK333" s="264" t="s">
        <v>792</v>
      </c>
      <c r="AL333" s="264" t="s">
        <v>792</v>
      </c>
      <c r="AM333" s="264" t="s">
        <v>792</v>
      </c>
      <c r="AN333" s="264" t="s">
        <v>792</v>
      </c>
      <c r="AO333" s="264" t="s">
        <v>792</v>
      </c>
      <c r="AP333" s="264" t="s">
        <v>792</v>
      </c>
      <c r="AQ333" s="264" t="s">
        <v>792</v>
      </c>
      <c r="AR333" s="264" t="s">
        <v>792</v>
      </c>
      <c r="AS333" s="264" t="s">
        <v>792</v>
      </c>
      <c r="AT333" s="264" t="s">
        <v>792</v>
      </c>
      <c r="AU333" s="264" t="s">
        <v>792</v>
      </c>
      <c r="AV333" s="264" t="s">
        <v>792</v>
      </c>
      <c r="AW333" s="264" t="s">
        <v>792</v>
      </c>
      <c r="AX333" s="264" t="s">
        <v>792</v>
      </c>
      <c r="AY333" s="264" t="s">
        <v>792</v>
      </c>
      <c r="AZ333" s="264" t="s">
        <v>792</v>
      </c>
      <c r="BA333" s="264" t="s">
        <v>792</v>
      </c>
      <c r="BB333" s="264" t="s">
        <v>792</v>
      </c>
      <c r="BC333" s="264" t="s">
        <v>792</v>
      </c>
      <c r="BD333" s="264" t="s">
        <v>792</v>
      </c>
      <c r="BE333" s="264" t="s">
        <v>792</v>
      </c>
      <c r="BF333" s="264" t="s">
        <v>792</v>
      </c>
    </row>
    <row r="334" spans="1:58" x14ac:dyDescent="0.3">
      <c r="A334" s="263" t="s">
        <v>1051</v>
      </c>
      <c r="B334" s="259">
        <v>0</v>
      </c>
      <c r="C334" s="264" t="s">
        <v>792</v>
      </c>
      <c r="D334" s="264" t="s">
        <v>792</v>
      </c>
      <c r="E334" s="264" t="s">
        <v>792</v>
      </c>
      <c r="F334" s="264" t="s">
        <v>792</v>
      </c>
      <c r="G334" s="264" t="s">
        <v>792</v>
      </c>
      <c r="H334" s="264" t="s">
        <v>792</v>
      </c>
      <c r="I334" s="264" t="s">
        <v>792</v>
      </c>
      <c r="J334" s="264" t="s">
        <v>792</v>
      </c>
      <c r="K334" s="264" t="s">
        <v>792</v>
      </c>
      <c r="L334" s="264" t="s">
        <v>792</v>
      </c>
      <c r="M334" s="264" t="s">
        <v>792</v>
      </c>
      <c r="N334" s="264" t="s">
        <v>792</v>
      </c>
      <c r="O334" s="264" t="s">
        <v>792</v>
      </c>
      <c r="P334" s="264" t="s">
        <v>792</v>
      </c>
      <c r="Q334" s="264" t="s">
        <v>792</v>
      </c>
      <c r="R334" s="264" t="s">
        <v>792</v>
      </c>
      <c r="S334" s="264" t="s">
        <v>792</v>
      </c>
      <c r="T334" s="264" t="s">
        <v>792</v>
      </c>
      <c r="U334" s="264" t="s">
        <v>792</v>
      </c>
      <c r="V334" s="264" t="s">
        <v>792</v>
      </c>
      <c r="W334" s="264" t="s">
        <v>792</v>
      </c>
      <c r="X334" s="264" t="s">
        <v>792</v>
      </c>
      <c r="Y334" s="264" t="s">
        <v>792</v>
      </c>
      <c r="Z334" s="264" t="s">
        <v>792</v>
      </c>
      <c r="AA334" s="264" t="s">
        <v>792</v>
      </c>
      <c r="AB334" s="264" t="s">
        <v>792</v>
      </c>
      <c r="AC334" s="264" t="s">
        <v>792</v>
      </c>
      <c r="AD334" s="264" t="s">
        <v>792</v>
      </c>
      <c r="AE334" s="264" t="s">
        <v>792</v>
      </c>
      <c r="AF334" s="264" t="s">
        <v>792</v>
      </c>
      <c r="AG334" s="264" t="s">
        <v>792</v>
      </c>
      <c r="AH334" s="264" t="s">
        <v>792</v>
      </c>
      <c r="AI334" s="264" t="s">
        <v>792</v>
      </c>
      <c r="AJ334" s="264" t="s">
        <v>792</v>
      </c>
      <c r="AK334" s="264" t="s">
        <v>792</v>
      </c>
      <c r="AL334" s="264" t="s">
        <v>792</v>
      </c>
      <c r="AM334" s="264" t="s">
        <v>792</v>
      </c>
      <c r="AN334" s="264" t="s">
        <v>792</v>
      </c>
      <c r="AO334" s="264" t="s">
        <v>792</v>
      </c>
      <c r="AP334" s="264" t="s">
        <v>792</v>
      </c>
      <c r="AQ334" s="264" t="s">
        <v>792</v>
      </c>
      <c r="AR334" s="264" t="s">
        <v>792</v>
      </c>
      <c r="AS334" s="264" t="s">
        <v>792</v>
      </c>
      <c r="AT334" s="264" t="s">
        <v>792</v>
      </c>
      <c r="AU334" s="264" t="s">
        <v>792</v>
      </c>
      <c r="AV334" s="264" t="s">
        <v>792</v>
      </c>
      <c r="AW334" s="264" t="s">
        <v>792</v>
      </c>
      <c r="AX334" s="264" t="s">
        <v>792</v>
      </c>
      <c r="AY334" s="264" t="s">
        <v>792</v>
      </c>
      <c r="AZ334" s="264" t="s">
        <v>792</v>
      </c>
      <c r="BA334" s="264" t="s">
        <v>792</v>
      </c>
      <c r="BB334" s="264" t="s">
        <v>792</v>
      </c>
      <c r="BC334" s="264" t="s">
        <v>792</v>
      </c>
      <c r="BD334" s="264" t="s">
        <v>792</v>
      </c>
      <c r="BE334" s="264" t="s">
        <v>792</v>
      </c>
      <c r="BF334" s="264" t="s">
        <v>792</v>
      </c>
    </row>
    <row r="335" spans="1:58" x14ac:dyDescent="0.3">
      <c r="A335" s="260" t="s">
        <v>951</v>
      </c>
      <c r="B335" s="262">
        <v>-12635</v>
      </c>
      <c r="C335" s="262">
        <v>-31974</v>
      </c>
      <c r="D335" s="262">
        <v>-51195</v>
      </c>
      <c r="E335" s="262">
        <v>-82231</v>
      </c>
      <c r="F335" s="262">
        <v>-155005</v>
      </c>
      <c r="G335" s="262">
        <v>-168857</v>
      </c>
      <c r="H335" s="262">
        <v>-222026</v>
      </c>
      <c r="I335" s="262">
        <v>-323352</v>
      </c>
      <c r="J335" s="262">
        <v>-459040</v>
      </c>
      <c r="K335" s="262">
        <v>-405755</v>
      </c>
      <c r="L335" s="262">
        <v>-456358</v>
      </c>
      <c r="M335" s="262">
        <v>-596559</v>
      </c>
      <c r="N335" s="262">
        <v>-736606</v>
      </c>
      <c r="O335" s="262">
        <v>-835787</v>
      </c>
      <c r="P335" s="262">
        <v>-1381845</v>
      </c>
      <c r="Q335" s="262">
        <v>-2106089</v>
      </c>
      <c r="R335" s="262">
        <v>-2974476</v>
      </c>
      <c r="S335" s="262">
        <v>-2972777</v>
      </c>
      <c r="T335" s="262">
        <v>-2963034</v>
      </c>
      <c r="U335" s="262">
        <v>-2953498</v>
      </c>
      <c r="V335" s="262">
        <v>-3977549</v>
      </c>
      <c r="W335" s="262">
        <v>-4031088</v>
      </c>
      <c r="X335" s="262">
        <v>-3020446</v>
      </c>
      <c r="Y335" s="262">
        <v>-3020411</v>
      </c>
      <c r="Z335" s="262">
        <v>-2840251</v>
      </c>
      <c r="AA335" s="262">
        <v>-2905637</v>
      </c>
      <c r="AB335" s="262">
        <v>-2956659</v>
      </c>
      <c r="AC335" s="262">
        <v>-2885189</v>
      </c>
      <c r="AD335" s="262">
        <v>-2598628</v>
      </c>
      <c r="AE335" s="262">
        <v>-2594610</v>
      </c>
      <c r="AF335" s="262">
        <v>-2547504</v>
      </c>
      <c r="AG335" s="262">
        <v>-2531122</v>
      </c>
      <c r="AH335" s="262">
        <v>-2579073</v>
      </c>
      <c r="AI335" s="262">
        <v>-2545083</v>
      </c>
      <c r="AJ335" s="262">
        <v>-2474524</v>
      </c>
      <c r="AK335" s="262">
        <v>-2403065</v>
      </c>
      <c r="AL335" s="262">
        <v>-2342902</v>
      </c>
      <c r="AM335" s="262">
        <v>-2396581</v>
      </c>
      <c r="AN335" s="262">
        <v>-2330919</v>
      </c>
      <c r="AO335" s="262">
        <v>-2324981</v>
      </c>
      <c r="AP335" s="262">
        <v>-1530431</v>
      </c>
      <c r="AQ335" s="262">
        <v>-1591892</v>
      </c>
      <c r="AR335" s="262">
        <v>-1691694</v>
      </c>
      <c r="AS335" s="262">
        <v>-1802292</v>
      </c>
      <c r="AT335" s="262">
        <v>-1077665</v>
      </c>
      <c r="AU335" s="262">
        <v>-1143456</v>
      </c>
      <c r="AV335" s="262">
        <v>-722554</v>
      </c>
      <c r="AW335" s="262">
        <v>-625450</v>
      </c>
      <c r="AX335" s="262">
        <v>0</v>
      </c>
      <c r="AY335" s="262">
        <v>1068970</v>
      </c>
      <c r="AZ335" s="262">
        <v>1708050</v>
      </c>
      <c r="BA335" s="262">
        <v>2500364</v>
      </c>
      <c r="BB335" s="262">
        <v>0</v>
      </c>
      <c r="BC335" s="262">
        <v>1162065</v>
      </c>
      <c r="BD335" s="262">
        <v>2003034</v>
      </c>
      <c r="BE335" s="262">
        <v>3631858</v>
      </c>
      <c r="BF335" s="262">
        <v>0</v>
      </c>
    </row>
    <row r="336" spans="1:58" x14ac:dyDescent="0.3">
      <c r="A336" s="260" t="s">
        <v>939</v>
      </c>
      <c r="B336" s="262">
        <v>0</v>
      </c>
      <c r="C336" s="262">
        <v>0</v>
      </c>
      <c r="D336" s="262">
        <v>0</v>
      </c>
      <c r="E336" s="262">
        <v>0</v>
      </c>
      <c r="F336" s="262">
        <v>0</v>
      </c>
      <c r="G336" s="261" t="s">
        <v>792</v>
      </c>
      <c r="H336" s="262">
        <v>1050</v>
      </c>
      <c r="I336" s="262">
        <v>1050</v>
      </c>
      <c r="J336" s="262">
        <v>0</v>
      </c>
      <c r="K336" s="262">
        <v>0</v>
      </c>
      <c r="L336" s="262">
        <v>0</v>
      </c>
      <c r="M336" s="262">
        <v>0</v>
      </c>
      <c r="N336" s="262">
        <v>0</v>
      </c>
      <c r="O336" s="261" t="s">
        <v>792</v>
      </c>
      <c r="P336" s="261" t="s">
        <v>792</v>
      </c>
      <c r="Q336" s="261" t="s">
        <v>792</v>
      </c>
      <c r="R336" s="262">
        <v>0</v>
      </c>
      <c r="S336" s="262">
        <v>0</v>
      </c>
      <c r="T336" s="262">
        <v>0</v>
      </c>
      <c r="U336" s="262">
        <v>0</v>
      </c>
      <c r="V336" s="262">
        <v>0</v>
      </c>
      <c r="W336" s="262">
        <v>0</v>
      </c>
      <c r="X336" s="262">
        <v>0</v>
      </c>
      <c r="Y336" s="262">
        <v>0</v>
      </c>
      <c r="Z336" s="262">
        <v>0</v>
      </c>
      <c r="AA336" s="262">
        <v>0</v>
      </c>
      <c r="AB336" s="262">
        <v>0</v>
      </c>
      <c r="AC336" s="262">
        <v>0</v>
      </c>
      <c r="AD336" s="262">
        <v>0</v>
      </c>
      <c r="AE336" s="262">
        <v>0</v>
      </c>
      <c r="AF336" s="262">
        <v>0</v>
      </c>
      <c r="AG336" s="262">
        <v>0</v>
      </c>
      <c r="AH336" s="262">
        <v>0</v>
      </c>
      <c r="AI336" s="262">
        <v>0</v>
      </c>
      <c r="AJ336" s="262">
        <v>0</v>
      </c>
      <c r="AK336" s="262">
        <v>0</v>
      </c>
      <c r="AL336" s="262">
        <v>0</v>
      </c>
      <c r="AM336" s="262">
        <v>0</v>
      </c>
      <c r="AN336" s="261" t="s">
        <v>792</v>
      </c>
      <c r="AO336" s="262">
        <v>0</v>
      </c>
      <c r="AP336" s="262">
        <v>0</v>
      </c>
      <c r="AQ336" s="262">
        <v>0</v>
      </c>
      <c r="AR336" s="262">
        <v>0</v>
      </c>
      <c r="AS336" s="262">
        <v>0</v>
      </c>
      <c r="AT336" s="262">
        <v>0</v>
      </c>
      <c r="AU336" s="262">
        <v>0</v>
      </c>
      <c r="AV336" s="262">
        <v>0</v>
      </c>
      <c r="AW336" s="262">
        <v>0</v>
      </c>
      <c r="AX336" s="262">
        <v>0</v>
      </c>
      <c r="AY336" s="262">
        <v>0</v>
      </c>
      <c r="AZ336" s="262">
        <v>0</v>
      </c>
      <c r="BA336" s="262">
        <v>0</v>
      </c>
      <c r="BB336" s="262">
        <v>0</v>
      </c>
      <c r="BC336" s="262">
        <v>-146177</v>
      </c>
      <c r="BD336" s="262">
        <v>0</v>
      </c>
      <c r="BE336" s="262">
        <v>-147448</v>
      </c>
      <c r="BF336" s="262">
        <v>0</v>
      </c>
    </row>
    <row r="337" spans="1:58" x14ac:dyDescent="0.3">
      <c r="A337" s="255" t="s">
        <v>1052</v>
      </c>
      <c r="B337" s="257">
        <v>0</v>
      </c>
      <c r="C337" s="257">
        <v>0</v>
      </c>
      <c r="D337" s="257">
        <v>0</v>
      </c>
      <c r="E337" s="257">
        <v>0</v>
      </c>
      <c r="F337" s="256" t="s">
        <v>792</v>
      </c>
      <c r="G337" s="256" t="s">
        <v>792</v>
      </c>
      <c r="H337" s="256" t="s">
        <v>792</v>
      </c>
      <c r="I337" s="256" t="s">
        <v>792</v>
      </c>
      <c r="J337" s="256" t="s">
        <v>792</v>
      </c>
      <c r="K337" s="256" t="s">
        <v>792</v>
      </c>
      <c r="L337" s="256" t="s">
        <v>792</v>
      </c>
      <c r="M337" s="256" t="s">
        <v>792</v>
      </c>
      <c r="N337" s="256" t="s">
        <v>792</v>
      </c>
      <c r="O337" s="256" t="s">
        <v>792</v>
      </c>
      <c r="P337" s="256" t="s">
        <v>792</v>
      </c>
      <c r="Q337" s="256" t="s">
        <v>792</v>
      </c>
      <c r="R337" s="256" t="s">
        <v>792</v>
      </c>
      <c r="S337" s="256" t="s">
        <v>792</v>
      </c>
      <c r="T337" s="256" t="s">
        <v>792</v>
      </c>
      <c r="U337" s="256" t="s">
        <v>792</v>
      </c>
      <c r="V337" s="256" t="s">
        <v>792</v>
      </c>
      <c r="W337" s="256" t="s">
        <v>792</v>
      </c>
      <c r="X337" s="256" t="s">
        <v>792</v>
      </c>
      <c r="Y337" s="256" t="s">
        <v>792</v>
      </c>
      <c r="Z337" s="256" t="s">
        <v>792</v>
      </c>
      <c r="AA337" s="256" t="s">
        <v>792</v>
      </c>
      <c r="AB337" s="256" t="s">
        <v>792</v>
      </c>
      <c r="AC337" s="256" t="s">
        <v>792</v>
      </c>
      <c r="AD337" s="256" t="s">
        <v>792</v>
      </c>
      <c r="AE337" s="256" t="s">
        <v>792</v>
      </c>
      <c r="AF337" s="256" t="s">
        <v>792</v>
      </c>
      <c r="AG337" s="256" t="s">
        <v>792</v>
      </c>
      <c r="AH337" s="256" t="s">
        <v>792</v>
      </c>
      <c r="AI337" s="256" t="s">
        <v>792</v>
      </c>
      <c r="AJ337" s="256" t="s">
        <v>792</v>
      </c>
      <c r="AK337" s="256" t="s">
        <v>792</v>
      </c>
      <c r="AL337" s="256" t="s">
        <v>792</v>
      </c>
      <c r="AM337" s="256" t="s">
        <v>792</v>
      </c>
      <c r="AN337" s="256" t="s">
        <v>792</v>
      </c>
      <c r="AO337" s="256" t="s">
        <v>792</v>
      </c>
      <c r="AP337" s="256" t="s">
        <v>792</v>
      </c>
      <c r="AQ337" s="256" t="s">
        <v>792</v>
      </c>
      <c r="AR337" s="256" t="s">
        <v>792</v>
      </c>
      <c r="AS337" s="256" t="s">
        <v>792</v>
      </c>
      <c r="AT337" s="256" t="s">
        <v>792</v>
      </c>
      <c r="AU337" s="256" t="s">
        <v>792</v>
      </c>
      <c r="AV337" s="256" t="s">
        <v>792</v>
      </c>
      <c r="AW337" s="256" t="s">
        <v>792</v>
      </c>
      <c r="AX337" s="256" t="s">
        <v>792</v>
      </c>
      <c r="AY337" s="256" t="s">
        <v>792</v>
      </c>
      <c r="AZ337" s="256" t="s">
        <v>792</v>
      </c>
      <c r="BA337" s="256" t="s">
        <v>792</v>
      </c>
      <c r="BB337" s="256" t="s">
        <v>792</v>
      </c>
      <c r="BC337" s="256" t="s">
        <v>792</v>
      </c>
      <c r="BD337" s="256" t="s">
        <v>792</v>
      </c>
      <c r="BE337" s="256" t="s">
        <v>792</v>
      </c>
      <c r="BF337" s="256" t="s">
        <v>792</v>
      </c>
    </row>
    <row r="338" spans="1:58" x14ac:dyDescent="0.3">
      <c r="A338" s="255"/>
      <c r="B338" s="256"/>
      <c r="C338" s="256"/>
      <c r="D338" s="256"/>
      <c r="E338" s="256"/>
      <c r="F338" s="256"/>
      <c r="G338" s="256"/>
      <c r="H338" s="256"/>
      <c r="I338" s="256"/>
      <c r="J338" s="256"/>
      <c r="K338" s="256"/>
      <c r="L338" s="256"/>
      <c r="M338" s="256"/>
      <c r="N338" s="256"/>
      <c r="O338" s="256"/>
      <c r="P338" s="256"/>
      <c r="Q338" s="256"/>
      <c r="R338" s="256"/>
      <c r="S338" s="256"/>
      <c r="T338" s="256"/>
      <c r="U338" s="256"/>
      <c r="V338" s="256"/>
      <c r="W338" s="256"/>
      <c r="X338" s="256"/>
      <c r="Y338" s="256"/>
      <c r="Z338" s="256"/>
      <c r="AA338" s="256"/>
      <c r="AB338" s="256"/>
      <c r="AC338" s="256"/>
      <c r="AD338" s="256"/>
      <c r="AE338" s="256"/>
      <c r="AF338" s="256"/>
      <c r="AG338" s="256"/>
      <c r="AH338" s="256"/>
      <c r="AI338" s="256"/>
      <c r="AJ338" s="256"/>
      <c r="AK338" s="256"/>
      <c r="AL338" s="256"/>
      <c r="AM338" s="256"/>
      <c r="AN338" s="256"/>
      <c r="AO338" s="256"/>
      <c r="AP338" s="256"/>
      <c r="AQ338" s="256"/>
      <c r="AR338" s="256"/>
      <c r="AS338" s="256"/>
      <c r="AT338" s="256"/>
      <c r="AU338" s="256"/>
      <c r="AV338" s="256"/>
      <c r="AW338" s="256"/>
      <c r="AX338" s="256"/>
      <c r="AY338" s="256"/>
      <c r="AZ338" s="256"/>
      <c r="BA338" s="256"/>
      <c r="BB338" s="256"/>
      <c r="BC338" s="256"/>
      <c r="BD338" s="256"/>
      <c r="BE338" s="256"/>
      <c r="BF338" s="256"/>
    </row>
    <row r="339" spans="1:58" x14ac:dyDescent="0.3">
      <c r="A339" s="255" t="s">
        <v>955</v>
      </c>
      <c r="B339" s="256" t="s">
        <v>5</v>
      </c>
      <c r="C339" s="256" t="s">
        <v>5</v>
      </c>
      <c r="D339" s="256" t="s">
        <v>5</v>
      </c>
      <c r="E339" s="256" t="s">
        <v>5</v>
      </c>
      <c r="F339" s="256" t="s">
        <v>5</v>
      </c>
      <c r="G339" s="256" t="s">
        <v>5</v>
      </c>
      <c r="H339" s="256" t="s">
        <v>5</v>
      </c>
      <c r="I339" s="256" t="s">
        <v>5</v>
      </c>
      <c r="J339" s="256" t="s">
        <v>5</v>
      </c>
      <c r="K339" s="256" t="s">
        <v>5</v>
      </c>
      <c r="L339" s="256" t="s">
        <v>5</v>
      </c>
      <c r="M339" s="256" t="s">
        <v>5</v>
      </c>
      <c r="N339" s="256" t="s">
        <v>5</v>
      </c>
      <c r="O339" s="256" t="s">
        <v>5</v>
      </c>
      <c r="P339" s="256" t="s">
        <v>5</v>
      </c>
      <c r="Q339" s="256" t="s">
        <v>5</v>
      </c>
      <c r="R339" s="256" t="s">
        <v>5</v>
      </c>
      <c r="S339" s="256" t="s">
        <v>5</v>
      </c>
      <c r="T339" s="256" t="s">
        <v>5</v>
      </c>
      <c r="U339" s="256" t="s">
        <v>5</v>
      </c>
      <c r="V339" s="256" t="s">
        <v>5</v>
      </c>
      <c r="W339" s="256" t="s">
        <v>5</v>
      </c>
      <c r="X339" s="256" t="s">
        <v>5</v>
      </c>
      <c r="Y339" s="256" t="s">
        <v>5</v>
      </c>
      <c r="Z339" s="256" t="s">
        <v>5</v>
      </c>
      <c r="AA339" s="256" t="s">
        <v>5</v>
      </c>
      <c r="AB339" s="256" t="s">
        <v>5</v>
      </c>
      <c r="AC339" s="256" t="s">
        <v>5</v>
      </c>
      <c r="AD339" s="256" t="s">
        <v>5</v>
      </c>
      <c r="AE339" s="256" t="s">
        <v>5</v>
      </c>
      <c r="AF339" s="256" t="s">
        <v>5</v>
      </c>
      <c r="AG339" s="256" t="s">
        <v>5</v>
      </c>
      <c r="AH339" s="256" t="s">
        <v>5</v>
      </c>
      <c r="AI339" s="256" t="s">
        <v>5</v>
      </c>
      <c r="AJ339" s="256" t="s">
        <v>5</v>
      </c>
      <c r="AK339" s="256" t="s">
        <v>5</v>
      </c>
      <c r="AL339" s="256" t="s">
        <v>5</v>
      </c>
      <c r="AM339" s="256" t="s">
        <v>5</v>
      </c>
      <c r="AN339" s="256" t="s">
        <v>5</v>
      </c>
      <c r="AO339" s="256" t="s">
        <v>5</v>
      </c>
      <c r="AP339" s="256" t="s">
        <v>5</v>
      </c>
      <c r="AQ339" s="256" t="s">
        <v>5</v>
      </c>
      <c r="AR339" s="256" t="s">
        <v>5</v>
      </c>
      <c r="AS339" s="256" t="s">
        <v>5</v>
      </c>
      <c r="AT339" s="256" t="s">
        <v>5</v>
      </c>
      <c r="AU339" s="256" t="s">
        <v>5</v>
      </c>
      <c r="AV339" s="256" t="s">
        <v>5</v>
      </c>
      <c r="AW339" s="256" t="s">
        <v>5</v>
      </c>
      <c r="AX339" s="256" t="s">
        <v>5</v>
      </c>
      <c r="AY339" s="256" t="s">
        <v>5</v>
      </c>
      <c r="AZ339" s="256" t="s">
        <v>5</v>
      </c>
      <c r="BA339" s="256" t="s">
        <v>5</v>
      </c>
      <c r="BB339" s="256" t="s">
        <v>5</v>
      </c>
      <c r="BC339" s="256" t="s">
        <v>5</v>
      </c>
      <c r="BD339" s="256" t="s">
        <v>5</v>
      </c>
      <c r="BE339" s="256" t="s">
        <v>5</v>
      </c>
      <c r="BF339" s="256" t="s">
        <v>5</v>
      </c>
    </row>
    <row r="340" spans="1:58" x14ac:dyDescent="0.3">
      <c r="A340" s="255" t="s">
        <v>956</v>
      </c>
      <c r="B340" s="256">
        <v>12</v>
      </c>
      <c r="C340" s="256">
        <v>3</v>
      </c>
      <c r="D340" s="256">
        <v>6</v>
      </c>
      <c r="E340" s="256">
        <v>9</v>
      </c>
      <c r="F340" s="256">
        <v>12</v>
      </c>
      <c r="G340" s="256">
        <v>3</v>
      </c>
      <c r="H340" s="256">
        <v>6</v>
      </c>
      <c r="I340" s="256">
        <v>9</v>
      </c>
      <c r="J340" s="256">
        <v>12</v>
      </c>
      <c r="K340" s="256">
        <v>3</v>
      </c>
      <c r="L340" s="256">
        <v>6</v>
      </c>
      <c r="M340" s="256">
        <v>9</v>
      </c>
      <c r="N340" s="256">
        <v>12</v>
      </c>
      <c r="O340" s="256">
        <v>3</v>
      </c>
      <c r="P340" s="256">
        <v>6</v>
      </c>
      <c r="Q340" s="256">
        <v>9</v>
      </c>
      <c r="R340" s="256">
        <v>12</v>
      </c>
      <c r="S340" s="256">
        <v>3</v>
      </c>
      <c r="T340" s="256">
        <v>6</v>
      </c>
      <c r="U340" s="256">
        <v>9</v>
      </c>
      <c r="V340" s="256">
        <v>12</v>
      </c>
      <c r="W340" s="256">
        <v>3</v>
      </c>
      <c r="X340" s="256">
        <v>6</v>
      </c>
      <c r="Y340" s="256">
        <v>9</v>
      </c>
      <c r="Z340" s="256">
        <v>12</v>
      </c>
      <c r="AA340" s="256">
        <v>3</v>
      </c>
      <c r="AB340" s="256">
        <v>6</v>
      </c>
      <c r="AC340" s="256">
        <v>9</v>
      </c>
      <c r="AD340" s="256">
        <v>12</v>
      </c>
      <c r="AE340" s="256">
        <v>3</v>
      </c>
      <c r="AF340" s="256">
        <v>6</v>
      </c>
      <c r="AG340" s="256">
        <v>9</v>
      </c>
      <c r="AH340" s="256">
        <v>12</v>
      </c>
      <c r="AI340" s="256">
        <v>3</v>
      </c>
      <c r="AJ340" s="256">
        <v>6</v>
      </c>
      <c r="AK340" s="256">
        <v>9</v>
      </c>
      <c r="AL340" s="256">
        <v>12</v>
      </c>
      <c r="AM340" s="256">
        <v>3</v>
      </c>
      <c r="AN340" s="256">
        <v>6</v>
      </c>
      <c r="AO340" s="256">
        <v>9</v>
      </c>
      <c r="AP340" s="256">
        <v>12</v>
      </c>
      <c r="AQ340" s="256">
        <v>3</v>
      </c>
      <c r="AR340" s="256">
        <v>6</v>
      </c>
      <c r="AS340" s="256">
        <v>9</v>
      </c>
      <c r="AT340" s="256">
        <v>12</v>
      </c>
      <c r="AU340" s="256">
        <v>3</v>
      </c>
      <c r="AV340" s="256">
        <v>6</v>
      </c>
      <c r="AW340" s="256">
        <v>9</v>
      </c>
      <c r="AX340" s="256">
        <v>12</v>
      </c>
      <c r="AY340" s="256">
        <v>3</v>
      </c>
      <c r="AZ340" s="256">
        <v>6</v>
      </c>
      <c r="BA340" s="256">
        <v>9</v>
      </c>
      <c r="BB340" s="256">
        <v>12</v>
      </c>
      <c r="BC340" s="256">
        <v>3</v>
      </c>
      <c r="BD340" s="256">
        <v>6</v>
      </c>
      <c r="BE340" s="256">
        <v>9</v>
      </c>
      <c r="BF340" s="256">
        <v>12</v>
      </c>
    </row>
    <row r="341" spans="1:58" x14ac:dyDescent="0.3">
      <c r="A341" s="255"/>
      <c r="B341" s="256"/>
      <c r="C341" s="256"/>
      <c r="D341" s="256"/>
      <c r="E341" s="256"/>
      <c r="F341" s="256"/>
      <c r="G341" s="256"/>
      <c r="H341" s="256"/>
      <c r="I341" s="256"/>
      <c r="J341" s="256"/>
      <c r="K341" s="256"/>
      <c r="L341" s="256"/>
      <c r="M341" s="256"/>
      <c r="N341" s="256"/>
      <c r="O341" s="256"/>
      <c r="P341" s="256"/>
      <c r="Q341" s="256"/>
      <c r="R341" s="256"/>
      <c r="S341" s="256"/>
      <c r="T341" s="256"/>
      <c r="U341" s="256"/>
      <c r="V341" s="256"/>
      <c r="W341" s="256"/>
      <c r="X341" s="256"/>
      <c r="Y341" s="256"/>
      <c r="Z341" s="256"/>
      <c r="AA341" s="256"/>
      <c r="AB341" s="256"/>
      <c r="AC341" s="256"/>
      <c r="AD341" s="256"/>
      <c r="AE341" s="256"/>
      <c r="AF341" s="256"/>
      <c r="AG341" s="256"/>
      <c r="AH341" s="256"/>
      <c r="AI341" s="256"/>
      <c r="AJ341" s="256"/>
      <c r="AK341" s="256"/>
      <c r="AL341" s="256"/>
      <c r="AM341" s="256"/>
      <c r="AN341" s="256"/>
      <c r="AO341" s="256"/>
      <c r="AP341" s="256"/>
      <c r="AQ341" s="256"/>
      <c r="AR341" s="256"/>
      <c r="AS341" s="256"/>
      <c r="AT341" s="256"/>
      <c r="AU341" s="256"/>
      <c r="AV341" s="256"/>
      <c r="AW341" s="256"/>
      <c r="AX341" s="256"/>
      <c r="AY341" s="256"/>
      <c r="AZ341" s="256"/>
      <c r="BA341" s="256"/>
      <c r="BB341" s="256"/>
      <c r="BC341" s="256"/>
      <c r="BD341" s="256"/>
      <c r="BE341" s="256"/>
      <c r="BF341" s="256"/>
    </row>
    <row r="342" spans="1:58" x14ac:dyDescent="0.3">
      <c r="A342" s="255" t="s">
        <v>1053</v>
      </c>
      <c r="B342" s="257">
        <v>16656</v>
      </c>
      <c r="C342" s="257">
        <v>1840</v>
      </c>
      <c r="D342" s="257">
        <v>7737</v>
      </c>
      <c r="E342" s="257">
        <v>11363</v>
      </c>
      <c r="F342" s="256" t="s">
        <v>792</v>
      </c>
      <c r="G342" s="256" t="s">
        <v>792</v>
      </c>
      <c r="H342" s="256" t="s">
        <v>792</v>
      </c>
      <c r="I342" s="256" t="s">
        <v>792</v>
      </c>
      <c r="J342" s="256" t="s">
        <v>792</v>
      </c>
      <c r="K342" s="256" t="s">
        <v>792</v>
      </c>
      <c r="L342" s="256" t="s">
        <v>792</v>
      </c>
      <c r="M342" s="256" t="s">
        <v>792</v>
      </c>
      <c r="N342" s="256" t="s">
        <v>792</v>
      </c>
      <c r="O342" s="256" t="s">
        <v>792</v>
      </c>
      <c r="P342" s="256" t="s">
        <v>792</v>
      </c>
      <c r="Q342" s="256" t="s">
        <v>792</v>
      </c>
      <c r="R342" s="256" t="s">
        <v>792</v>
      </c>
      <c r="S342" s="256" t="s">
        <v>792</v>
      </c>
      <c r="T342" s="256" t="s">
        <v>792</v>
      </c>
      <c r="U342" s="256" t="s">
        <v>792</v>
      </c>
      <c r="V342" s="256" t="s">
        <v>792</v>
      </c>
      <c r="W342" s="256" t="s">
        <v>792</v>
      </c>
      <c r="X342" s="256" t="s">
        <v>792</v>
      </c>
      <c r="Y342" s="256" t="s">
        <v>792</v>
      </c>
      <c r="Z342" s="256" t="s">
        <v>792</v>
      </c>
      <c r="AA342" s="256" t="s">
        <v>792</v>
      </c>
      <c r="AB342" s="256" t="s">
        <v>792</v>
      </c>
      <c r="AC342" s="256" t="s">
        <v>792</v>
      </c>
      <c r="AD342" s="256" t="s">
        <v>792</v>
      </c>
      <c r="AE342" s="256" t="s">
        <v>792</v>
      </c>
      <c r="AF342" s="256" t="s">
        <v>792</v>
      </c>
      <c r="AG342" s="256" t="s">
        <v>792</v>
      </c>
      <c r="AH342" s="256" t="s">
        <v>792</v>
      </c>
      <c r="AI342" s="256" t="s">
        <v>792</v>
      </c>
      <c r="AJ342" s="256" t="s">
        <v>792</v>
      </c>
      <c r="AK342" s="256" t="s">
        <v>792</v>
      </c>
      <c r="AL342" s="256" t="s">
        <v>792</v>
      </c>
      <c r="AM342" s="256" t="s">
        <v>792</v>
      </c>
      <c r="AN342" s="256" t="s">
        <v>792</v>
      </c>
      <c r="AO342" s="256" t="s">
        <v>792</v>
      </c>
      <c r="AP342" s="256" t="s">
        <v>792</v>
      </c>
      <c r="AQ342" s="256" t="s">
        <v>792</v>
      </c>
      <c r="AR342" s="256" t="s">
        <v>792</v>
      </c>
      <c r="AS342" s="256" t="s">
        <v>792</v>
      </c>
      <c r="AT342" s="256" t="s">
        <v>792</v>
      </c>
      <c r="AU342" s="256" t="s">
        <v>792</v>
      </c>
      <c r="AV342" s="256" t="s">
        <v>792</v>
      </c>
      <c r="AW342" s="256" t="s">
        <v>792</v>
      </c>
      <c r="AX342" s="256" t="s">
        <v>792</v>
      </c>
      <c r="AY342" s="256" t="s">
        <v>792</v>
      </c>
      <c r="AZ342" s="256" t="s">
        <v>792</v>
      </c>
      <c r="BA342" s="256" t="s">
        <v>792</v>
      </c>
      <c r="BB342" s="256" t="s">
        <v>792</v>
      </c>
      <c r="BC342" s="256" t="s">
        <v>792</v>
      </c>
      <c r="BD342" s="256" t="s">
        <v>792</v>
      </c>
      <c r="BE342" s="256" t="s">
        <v>792</v>
      </c>
      <c r="BF342" s="256" t="s">
        <v>792</v>
      </c>
    </row>
    <row r="343" spans="1:58" x14ac:dyDescent="0.3">
      <c r="A343" s="255" t="s">
        <v>1054</v>
      </c>
      <c r="B343" s="257">
        <v>1351</v>
      </c>
      <c r="C343" s="257">
        <v>299</v>
      </c>
      <c r="D343" s="257">
        <v>1132</v>
      </c>
      <c r="E343" s="257">
        <v>1955</v>
      </c>
      <c r="F343" s="256" t="s">
        <v>792</v>
      </c>
      <c r="G343" s="256" t="s">
        <v>792</v>
      </c>
      <c r="H343" s="256" t="s">
        <v>792</v>
      </c>
      <c r="I343" s="256" t="s">
        <v>792</v>
      </c>
      <c r="J343" s="256" t="s">
        <v>792</v>
      </c>
      <c r="K343" s="256" t="s">
        <v>792</v>
      </c>
      <c r="L343" s="256" t="s">
        <v>792</v>
      </c>
      <c r="M343" s="256" t="s">
        <v>792</v>
      </c>
      <c r="N343" s="256" t="s">
        <v>792</v>
      </c>
      <c r="O343" s="256" t="s">
        <v>792</v>
      </c>
      <c r="P343" s="256" t="s">
        <v>792</v>
      </c>
      <c r="Q343" s="256" t="s">
        <v>792</v>
      </c>
      <c r="R343" s="256" t="s">
        <v>792</v>
      </c>
      <c r="S343" s="256" t="s">
        <v>792</v>
      </c>
      <c r="T343" s="256" t="s">
        <v>792</v>
      </c>
      <c r="U343" s="256" t="s">
        <v>792</v>
      </c>
      <c r="V343" s="256" t="s">
        <v>792</v>
      </c>
      <c r="W343" s="256" t="s">
        <v>792</v>
      </c>
      <c r="X343" s="256" t="s">
        <v>792</v>
      </c>
      <c r="Y343" s="256" t="s">
        <v>792</v>
      </c>
      <c r="Z343" s="256" t="s">
        <v>792</v>
      </c>
      <c r="AA343" s="256" t="s">
        <v>792</v>
      </c>
      <c r="AB343" s="256" t="s">
        <v>792</v>
      </c>
      <c r="AC343" s="256" t="s">
        <v>792</v>
      </c>
      <c r="AD343" s="256" t="s">
        <v>792</v>
      </c>
      <c r="AE343" s="256" t="s">
        <v>792</v>
      </c>
      <c r="AF343" s="256" t="s">
        <v>792</v>
      </c>
      <c r="AG343" s="256" t="s">
        <v>792</v>
      </c>
      <c r="AH343" s="256" t="s">
        <v>792</v>
      </c>
      <c r="AI343" s="256" t="s">
        <v>792</v>
      </c>
      <c r="AJ343" s="256" t="s">
        <v>792</v>
      </c>
      <c r="AK343" s="256" t="s">
        <v>792</v>
      </c>
      <c r="AL343" s="256" t="s">
        <v>792</v>
      </c>
      <c r="AM343" s="256" t="s">
        <v>792</v>
      </c>
      <c r="AN343" s="256" t="s">
        <v>792</v>
      </c>
      <c r="AO343" s="256" t="s">
        <v>792</v>
      </c>
      <c r="AP343" s="256" t="s">
        <v>792</v>
      </c>
      <c r="AQ343" s="256" t="s">
        <v>792</v>
      </c>
      <c r="AR343" s="256" t="s">
        <v>792</v>
      </c>
      <c r="AS343" s="256" t="s">
        <v>792</v>
      </c>
      <c r="AT343" s="256" t="s">
        <v>792</v>
      </c>
      <c r="AU343" s="256" t="s">
        <v>792</v>
      </c>
      <c r="AV343" s="256" t="s">
        <v>792</v>
      </c>
      <c r="AW343" s="256" t="s">
        <v>792</v>
      </c>
      <c r="AX343" s="256" t="s">
        <v>792</v>
      </c>
      <c r="AY343" s="256" t="s">
        <v>792</v>
      </c>
      <c r="AZ343" s="256" t="s">
        <v>792</v>
      </c>
      <c r="BA343" s="256" t="s">
        <v>792</v>
      </c>
      <c r="BB343" s="256" t="s">
        <v>792</v>
      </c>
      <c r="BC343" s="256" t="s">
        <v>792</v>
      </c>
      <c r="BD343" s="256" t="s">
        <v>792</v>
      </c>
      <c r="BE343" s="256" t="s">
        <v>792</v>
      </c>
      <c r="BF343" s="256" t="s">
        <v>792</v>
      </c>
    </row>
    <row r="344" spans="1:58" x14ac:dyDescent="0.3">
      <c r="A344" s="255" t="s">
        <v>1055</v>
      </c>
      <c r="B344" s="257">
        <v>15305</v>
      </c>
      <c r="C344" s="257">
        <v>1541</v>
      </c>
      <c r="D344" s="257">
        <v>6605</v>
      </c>
      <c r="E344" s="257">
        <v>9408</v>
      </c>
      <c r="F344" s="257">
        <v>15593</v>
      </c>
      <c r="G344" s="257">
        <v>353</v>
      </c>
      <c r="H344" s="257">
        <v>8193</v>
      </c>
      <c r="I344" s="257">
        <v>8307</v>
      </c>
      <c r="J344" s="257">
        <v>9937</v>
      </c>
      <c r="K344" s="257">
        <v>3150</v>
      </c>
      <c r="L344" s="257">
        <v>3714</v>
      </c>
      <c r="M344" s="257">
        <v>3795</v>
      </c>
      <c r="N344" s="257">
        <v>6746</v>
      </c>
      <c r="O344" s="257">
        <v>2143</v>
      </c>
      <c r="P344" s="257">
        <v>2995</v>
      </c>
      <c r="Q344" s="257">
        <v>5406</v>
      </c>
      <c r="R344" s="257">
        <v>4395</v>
      </c>
      <c r="S344" s="257">
        <v>143303</v>
      </c>
      <c r="T344" s="257">
        <v>280907</v>
      </c>
      <c r="U344" s="257">
        <v>405122</v>
      </c>
      <c r="V344" s="257">
        <v>486839</v>
      </c>
      <c r="W344" s="257">
        <v>4853</v>
      </c>
      <c r="X344" s="257">
        <v>101661</v>
      </c>
      <c r="Y344" s="257">
        <v>229602</v>
      </c>
      <c r="Z344" s="257">
        <v>253071</v>
      </c>
      <c r="AA344" s="257">
        <v>41509</v>
      </c>
      <c r="AB344" s="257">
        <v>144890</v>
      </c>
      <c r="AC344" s="257">
        <v>284132</v>
      </c>
      <c r="AD344" s="257">
        <v>397871</v>
      </c>
      <c r="AE344" s="257">
        <v>74786</v>
      </c>
      <c r="AF344" s="257">
        <v>230293</v>
      </c>
      <c r="AG344" s="257">
        <v>340307</v>
      </c>
      <c r="AH344" s="257">
        <v>533922</v>
      </c>
      <c r="AI344" s="257">
        <v>117155</v>
      </c>
      <c r="AJ344" s="257">
        <v>356560</v>
      </c>
      <c r="AK344" s="257">
        <v>581187</v>
      </c>
      <c r="AL344" s="257">
        <v>848920</v>
      </c>
      <c r="AM344" s="257">
        <v>139431</v>
      </c>
      <c r="AN344" s="257">
        <v>687306</v>
      </c>
      <c r="AO344" s="257">
        <v>1086351</v>
      </c>
      <c r="AP344" s="257">
        <v>1644346</v>
      </c>
      <c r="AQ344" s="257">
        <v>223162</v>
      </c>
      <c r="AR344" s="257">
        <v>535455</v>
      </c>
      <c r="AS344" s="257">
        <v>1024150</v>
      </c>
      <c r="AT344" s="257">
        <v>1904185</v>
      </c>
      <c r="AU344" s="257">
        <v>655334</v>
      </c>
      <c r="AV344" s="257">
        <v>1678171</v>
      </c>
      <c r="AW344" s="257">
        <v>2617688</v>
      </c>
      <c r="AX344" s="257">
        <v>4396003</v>
      </c>
      <c r="AY344" s="257">
        <v>1529995</v>
      </c>
      <c r="AZ344" s="257">
        <v>3403980</v>
      </c>
      <c r="BA344" s="257">
        <v>5389766</v>
      </c>
      <c r="BB344" s="257">
        <v>6363475</v>
      </c>
      <c r="BC344" s="257">
        <v>2814955</v>
      </c>
      <c r="BD344" s="257">
        <v>5126161</v>
      </c>
      <c r="BE344" s="257">
        <v>8909843</v>
      </c>
      <c r="BF344" s="257">
        <v>11905041</v>
      </c>
    </row>
    <row r="345" spans="1:58" x14ac:dyDescent="0.3">
      <c r="A345" s="255" t="s">
        <v>958</v>
      </c>
      <c r="B345" s="257">
        <v>1885</v>
      </c>
      <c r="C345" s="257">
        <v>4026</v>
      </c>
      <c r="D345" s="257">
        <v>7162</v>
      </c>
      <c r="E345" s="257">
        <v>11788</v>
      </c>
      <c r="F345" s="257">
        <v>14418</v>
      </c>
      <c r="G345" s="257">
        <v>2800</v>
      </c>
      <c r="H345" s="257">
        <v>5588</v>
      </c>
      <c r="I345" s="257">
        <v>6883</v>
      </c>
      <c r="J345" s="257">
        <v>9429</v>
      </c>
      <c r="K345" s="257">
        <v>707</v>
      </c>
      <c r="L345" s="257">
        <v>2569</v>
      </c>
      <c r="M345" s="257">
        <v>2495</v>
      </c>
      <c r="N345" s="257">
        <v>3123</v>
      </c>
      <c r="O345" s="257">
        <v>499</v>
      </c>
      <c r="P345" s="257">
        <v>1101</v>
      </c>
      <c r="Q345" s="257">
        <v>1832</v>
      </c>
      <c r="R345" s="257">
        <v>2267</v>
      </c>
      <c r="S345" s="257">
        <v>120006</v>
      </c>
      <c r="T345" s="257">
        <v>202451</v>
      </c>
      <c r="U345" s="257">
        <v>300619</v>
      </c>
      <c r="V345" s="257">
        <v>468078</v>
      </c>
      <c r="W345" s="257">
        <v>4037</v>
      </c>
      <c r="X345" s="257">
        <v>120278</v>
      </c>
      <c r="Y345" s="257">
        <v>277087</v>
      </c>
      <c r="Z345" s="257">
        <v>294457</v>
      </c>
      <c r="AA345" s="257">
        <v>66577</v>
      </c>
      <c r="AB345" s="257">
        <v>180653</v>
      </c>
      <c r="AC345" s="257">
        <v>305267</v>
      </c>
      <c r="AD345" s="257">
        <v>408468</v>
      </c>
      <c r="AE345" s="257">
        <v>68240</v>
      </c>
      <c r="AF345" s="257">
        <v>200047</v>
      </c>
      <c r="AG345" s="257">
        <v>293559</v>
      </c>
      <c r="AH345" s="257">
        <v>435064</v>
      </c>
      <c r="AI345" s="257">
        <v>93692</v>
      </c>
      <c r="AJ345" s="257">
        <v>241159</v>
      </c>
      <c r="AK345" s="257">
        <v>358146</v>
      </c>
      <c r="AL345" s="257">
        <v>528809</v>
      </c>
      <c r="AM345" s="257">
        <v>96529</v>
      </c>
      <c r="AN345" s="257">
        <v>364980</v>
      </c>
      <c r="AO345" s="257">
        <v>597355</v>
      </c>
      <c r="AP345" s="257">
        <v>940379</v>
      </c>
      <c r="AQ345" s="257">
        <v>206826</v>
      </c>
      <c r="AR345" s="257">
        <v>432562</v>
      </c>
      <c r="AS345" s="257">
        <v>751872</v>
      </c>
      <c r="AT345" s="257">
        <v>1286926</v>
      </c>
      <c r="AU345" s="257">
        <v>236531</v>
      </c>
      <c r="AV345" s="257">
        <v>705094</v>
      </c>
      <c r="AW345" s="257">
        <v>1158350</v>
      </c>
      <c r="AX345" s="257">
        <v>1883358</v>
      </c>
      <c r="AY345" s="257">
        <v>462095</v>
      </c>
      <c r="AZ345" s="257">
        <v>1119431</v>
      </c>
      <c r="BA345" s="257">
        <v>1731742</v>
      </c>
      <c r="BB345" s="257">
        <v>2106303</v>
      </c>
      <c r="BC345" s="257">
        <v>981886</v>
      </c>
      <c r="BD345" s="257">
        <v>1824958</v>
      </c>
      <c r="BE345" s="257">
        <v>3452556</v>
      </c>
      <c r="BF345" s="257">
        <v>4246137</v>
      </c>
    </row>
    <row r="346" spans="1:58" x14ac:dyDescent="0.3">
      <c r="A346" s="255" t="s">
        <v>959</v>
      </c>
      <c r="B346" s="257">
        <v>13420</v>
      </c>
      <c r="C346" s="257">
        <v>-2485</v>
      </c>
      <c r="D346" s="257">
        <v>-557</v>
      </c>
      <c r="E346" s="257">
        <v>-2380</v>
      </c>
      <c r="F346" s="257">
        <v>1175</v>
      </c>
      <c r="G346" s="257">
        <v>-2447</v>
      </c>
      <c r="H346" s="257">
        <v>2605</v>
      </c>
      <c r="I346" s="257">
        <v>1424</v>
      </c>
      <c r="J346" s="257">
        <v>508</v>
      </c>
      <c r="K346" s="257">
        <v>2443</v>
      </c>
      <c r="L346" s="257">
        <v>1145</v>
      </c>
      <c r="M346" s="257">
        <v>1300</v>
      </c>
      <c r="N346" s="257">
        <v>3623</v>
      </c>
      <c r="O346" s="257">
        <v>1644</v>
      </c>
      <c r="P346" s="257">
        <v>1894</v>
      </c>
      <c r="Q346" s="257">
        <v>3574</v>
      </c>
      <c r="R346" s="257">
        <v>2128</v>
      </c>
      <c r="S346" s="257">
        <v>23297</v>
      </c>
      <c r="T346" s="257">
        <v>78456</v>
      </c>
      <c r="U346" s="257">
        <v>104503</v>
      </c>
      <c r="V346" s="257">
        <v>18761</v>
      </c>
      <c r="W346" s="257">
        <v>816</v>
      </c>
      <c r="X346" s="257">
        <v>-18617</v>
      </c>
      <c r="Y346" s="257">
        <v>-47485</v>
      </c>
      <c r="Z346" s="257">
        <v>-41386</v>
      </c>
      <c r="AA346" s="257">
        <v>-25068</v>
      </c>
      <c r="AB346" s="257">
        <v>-35763</v>
      </c>
      <c r="AC346" s="257">
        <v>-21135</v>
      </c>
      <c r="AD346" s="257">
        <v>-10597</v>
      </c>
      <c r="AE346" s="257">
        <v>6546</v>
      </c>
      <c r="AF346" s="257">
        <v>30246</v>
      </c>
      <c r="AG346" s="257">
        <v>46748</v>
      </c>
      <c r="AH346" s="257">
        <v>98858</v>
      </c>
      <c r="AI346" s="257">
        <v>23463</v>
      </c>
      <c r="AJ346" s="257">
        <v>115401</v>
      </c>
      <c r="AK346" s="257">
        <v>223041</v>
      </c>
      <c r="AL346" s="257">
        <v>320111</v>
      </c>
      <c r="AM346" s="257">
        <v>42902</v>
      </c>
      <c r="AN346" s="257">
        <v>322326</v>
      </c>
      <c r="AO346" s="257">
        <v>488996</v>
      </c>
      <c r="AP346" s="257">
        <v>703967</v>
      </c>
      <c r="AQ346" s="257">
        <v>16336</v>
      </c>
      <c r="AR346" s="257">
        <v>102893</v>
      </c>
      <c r="AS346" s="257">
        <v>272278</v>
      </c>
      <c r="AT346" s="257">
        <v>617259</v>
      </c>
      <c r="AU346" s="257">
        <v>418803</v>
      </c>
      <c r="AV346" s="257">
        <v>973077</v>
      </c>
      <c r="AW346" s="257">
        <v>1459338</v>
      </c>
      <c r="AX346" s="257">
        <v>2512645</v>
      </c>
      <c r="AY346" s="257">
        <v>1067900</v>
      </c>
      <c r="AZ346" s="257">
        <v>2284549</v>
      </c>
      <c r="BA346" s="257">
        <v>3658024</v>
      </c>
      <c r="BB346" s="257">
        <v>4257172</v>
      </c>
      <c r="BC346" s="257">
        <v>1833069</v>
      </c>
      <c r="BD346" s="257">
        <v>3301203</v>
      </c>
      <c r="BE346" s="257">
        <v>5457287</v>
      </c>
      <c r="BF346" s="257">
        <v>7658904</v>
      </c>
    </row>
    <row r="347" spans="1:58" x14ac:dyDescent="0.3">
      <c r="A347" s="255" t="s">
        <v>1056</v>
      </c>
      <c r="B347" s="257">
        <v>30447</v>
      </c>
      <c r="C347" s="257">
        <v>23091</v>
      </c>
      <c r="D347" s="257">
        <v>44853</v>
      </c>
      <c r="E347" s="257">
        <v>80664</v>
      </c>
      <c r="F347" s="256" t="s">
        <v>792</v>
      </c>
      <c r="G347" s="256" t="s">
        <v>792</v>
      </c>
      <c r="H347" s="256" t="s">
        <v>792</v>
      </c>
      <c r="I347" s="256" t="s">
        <v>792</v>
      </c>
      <c r="J347" s="256" t="s">
        <v>792</v>
      </c>
      <c r="K347" s="256" t="s">
        <v>792</v>
      </c>
      <c r="L347" s="256" t="s">
        <v>792</v>
      </c>
      <c r="M347" s="256" t="s">
        <v>792</v>
      </c>
      <c r="N347" s="256" t="s">
        <v>792</v>
      </c>
      <c r="O347" s="256" t="s">
        <v>792</v>
      </c>
      <c r="P347" s="256" t="s">
        <v>792</v>
      </c>
      <c r="Q347" s="256" t="s">
        <v>792</v>
      </c>
      <c r="R347" s="256" t="s">
        <v>792</v>
      </c>
      <c r="S347" s="256" t="s">
        <v>792</v>
      </c>
      <c r="T347" s="256" t="s">
        <v>792</v>
      </c>
      <c r="U347" s="256" t="s">
        <v>792</v>
      </c>
      <c r="V347" s="256" t="s">
        <v>792</v>
      </c>
      <c r="W347" s="256" t="s">
        <v>792</v>
      </c>
      <c r="X347" s="256" t="s">
        <v>792</v>
      </c>
      <c r="Y347" s="256" t="s">
        <v>792</v>
      </c>
      <c r="Z347" s="256" t="s">
        <v>792</v>
      </c>
      <c r="AA347" s="256" t="s">
        <v>792</v>
      </c>
      <c r="AB347" s="256" t="s">
        <v>792</v>
      </c>
      <c r="AC347" s="256" t="s">
        <v>792</v>
      </c>
      <c r="AD347" s="256" t="s">
        <v>792</v>
      </c>
      <c r="AE347" s="256" t="s">
        <v>792</v>
      </c>
      <c r="AF347" s="256" t="s">
        <v>792</v>
      </c>
      <c r="AG347" s="256" t="s">
        <v>792</v>
      </c>
      <c r="AH347" s="256" t="s">
        <v>792</v>
      </c>
      <c r="AI347" s="256" t="s">
        <v>792</v>
      </c>
      <c r="AJ347" s="256" t="s">
        <v>792</v>
      </c>
      <c r="AK347" s="256" t="s">
        <v>792</v>
      </c>
      <c r="AL347" s="256" t="s">
        <v>792</v>
      </c>
      <c r="AM347" s="256" t="s">
        <v>792</v>
      </c>
      <c r="AN347" s="256" t="s">
        <v>792</v>
      </c>
      <c r="AO347" s="256" t="s">
        <v>792</v>
      </c>
      <c r="AP347" s="256" t="s">
        <v>792</v>
      </c>
      <c r="AQ347" s="256" t="s">
        <v>792</v>
      </c>
      <c r="AR347" s="256" t="s">
        <v>792</v>
      </c>
      <c r="AS347" s="256" t="s">
        <v>792</v>
      </c>
      <c r="AT347" s="256" t="s">
        <v>792</v>
      </c>
      <c r="AU347" s="256" t="s">
        <v>792</v>
      </c>
      <c r="AV347" s="256" t="s">
        <v>792</v>
      </c>
      <c r="AW347" s="256" t="s">
        <v>792</v>
      </c>
      <c r="AX347" s="256" t="s">
        <v>792</v>
      </c>
      <c r="AY347" s="256" t="s">
        <v>792</v>
      </c>
      <c r="AZ347" s="256" t="s">
        <v>792</v>
      </c>
      <c r="BA347" s="256" t="s">
        <v>792</v>
      </c>
      <c r="BB347" s="256" t="s">
        <v>792</v>
      </c>
      <c r="BC347" s="256" t="s">
        <v>792</v>
      </c>
      <c r="BD347" s="256" t="s">
        <v>792</v>
      </c>
      <c r="BE347" s="256" t="s">
        <v>792</v>
      </c>
      <c r="BF347" s="256" t="s">
        <v>792</v>
      </c>
    </row>
    <row r="348" spans="1:58" x14ac:dyDescent="0.3">
      <c r="A348" s="258" t="s">
        <v>1057</v>
      </c>
      <c r="B348" s="259">
        <v>0</v>
      </c>
      <c r="C348" s="259">
        <v>0</v>
      </c>
      <c r="D348" s="259">
        <v>0</v>
      </c>
      <c r="E348" s="259">
        <v>0</v>
      </c>
      <c r="F348" s="259">
        <v>0</v>
      </c>
      <c r="G348" s="259">
        <v>0</v>
      </c>
      <c r="H348" s="259">
        <v>0</v>
      </c>
      <c r="I348" s="259">
        <v>0</v>
      </c>
      <c r="J348" s="259">
        <v>0</v>
      </c>
      <c r="K348" s="259">
        <v>0</v>
      </c>
      <c r="L348" s="259">
        <v>0</v>
      </c>
      <c r="M348" s="259">
        <v>0</v>
      </c>
      <c r="N348" s="259">
        <v>0</v>
      </c>
      <c r="O348" s="259">
        <v>0</v>
      </c>
      <c r="P348" s="259">
        <v>0</v>
      </c>
      <c r="Q348" s="259">
        <v>0</v>
      </c>
      <c r="R348" s="259">
        <v>0</v>
      </c>
      <c r="S348" s="259">
        <v>0</v>
      </c>
      <c r="T348" s="259">
        <v>0</v>
      </c>
      <c r="U348" s="259">
        <v>0</v>
      </c>
      <c r="V348" s="259">
        <v>0</v>
      </c>
      <c r="W348" s="259">
        <v>0</v>
      </c>
      <c r="X348" s="259">
        <v>0</v>
      </c>
      <c r="Y348" s="259">
        <v>0</v>
      </c>
      <c r="Z348" s="259">
        <v>0</v>
      </c>
      <c r="AA348" s="259">
        <v>0</v>
      </c>
      <c r="AB348" s="259">
        <v>0</v>
      </c>
      <c r="AC348" s="259">
        <v>0</v>
      </c>
      <c r="AD348" s="259">
        <v>0</v>
      </c>
      <c r="AE348" s="259">
        <v>0</v>
      </c>
      <c r="AF348" s="259">
        <v>0</v>
      </c>
      <c r="AG348" s="259">
        <v>0</v>
      </c>
      <c r="AH348" s="259">
        <v>0</v>
      </c>
      <c r="AI348" s="259">
        <v>0</v>
      </c>
      <c r="AJ348" s="259">
        <v>0</v>
      </c>
      <c r="AK348" s="259">
        <v>0</v>
      </c>
      <c r="AL348" s="259">
        <v>0</v>
      </c>
      <c r="AM348" s="259">
        <v>0</v>
      </c>
      <c r="AN348" s="259">
        <v>0</v>
      </c>
      <c r="AO348" s="259">
        <v>0</v>
      </c>
      <c r="AP348" s="259">
        <v>0</v>
      </c>
      <c r="AQ348" s="259">
        <v>0</v>
      </c>
      <c r="AR348" s="259">
        <v>0</v>
      </c>
      <c r="AS348" s="259">
        <v>0</v>
      </c>
      <c r="AT348" s="259">
        <v>0</v>
      </c>
      <c r="AU348" s="259">
        <v>0</v>
      </c>
      <c r="AV348" s="259">
        <v>0</v>
      </c>
      <c r="AW348" s="259">
        <v>0</v>
      </c>
      <c r="AX348" s="259">
        <v>0</v>
      </c>
      <c r="AY348" s="259">
        <v>0</v>
      </c>
      <c r="AZ348" s="259">
        <v>0</v>
      </c>
      <c r="BA348" s="259">
        <v>0</v>
      </c>
      <c r="BB348" s="259">
        <v>0</v>
      </c>
      <c r="BC348" s="259">
        <v>96642</v>
      </c>
      <c r="BD348" s="259">
        <v>261808</v>
      </c>
      <c r="BE348" s="259">
        <v>0</v>
      </c>
      <c r="BF348" s="259">
        <v>0</v>
      </c>
    </row>
    <row r="349" spans="1:58" x14ac:dyDescent="0.3">
      <c r="A349" s="258" t="s">
        <v>1058</v>
      </c>
      <c r="B349" s="259">
        <v>30447</v>
      </c>
      <c r="C349" s="259">
        <v>23091</v>
      </c>
      <c r="D349" s="259">
        <v>44853</v>
      </c>
      <c r="E349" s="259">
        <v>80664</v>
      </c>
      <c r="F349" s="259">
        <v>189648</v>
      </c>
      <c r="G349" s="259">
        <v>64550</v>
      </c>
      <c r="H349" s="259">
        <v>167559</v>
      </c>
      <c r="I349" s="259">
        <v>331601</v>
      </c>
      <c r="J349" s="259">
        <v>507341</v>
      </c>
      <c r="K349" s="259">
        <v>137952</v>
      </c>
      <c r="L349" s="259">
        <v>258873</v>
      </c>
      <c r="M349" s="259">
        <v>428477</v>
      </c>
      <c r="N349" s="259">
        <v>554322</v>
      </c>
      <c r="O349" s="259">
        <v>108054</v>
      </c>
      <c r="P349" s="259">
        <v>220103</v>
      </c>
      <c r="Q349" s="259">
        <v>287359</v>
      </c>
      <c r="R349" s="259">
        <v>334351</v>
      </c>
      <c r="S349" s="259">
        <v>35597</v>
      </c>
      <c r="T349" s="259">
        <v>80178</v>
      </c>
      <c r="U349" s="259">
        <v>113609</v>
      </c>
      <c r="V349" s="259">
        <v>143634</v>
      </c>
      <c r="W349" s="259">
        <v>20446</v>
      </c>
      <c r="X349" s="259">
        <v>40303</v>
      </c>
      <c r="Y349" s="259">
        <v>56290</v>
      </c>
      <c r="Z349" s="259">
        <v>84354</v>
      </c>
      <c r="AA349" s="259">
        <v>15572</v>
      </c>
      <c r="AB349" s="259">
        <v>30623</v>
      </c>
      <c r="AC349" s="259">
        <v>45024</v>
      </c>
      <c r="AD349" s="259">
        <v>75029</v>
      </c>
      <c r="AE349" s="259">
        <v>18931</v>
      </c>
      <c r="AF349" s="259">
        <v>46271</v>
      </c>
      <c r="AG349" s="259">
        <v>61431</v>
      </c>
      <c r="AH349" s="259">
        <v>98116</v>
      </c>
      <c r="AI349" s="259">
        <v>29111</v>
      </c>
      <c r="AJ349" s="259">
        <v>55447</v>
      </c>
      <c r="AK349" s="259">
        <v>79113</v>
      </c>
      <c r="AL349" s="259">
        <v>117971</v>
      </c>
      <c r="AM349" s="259">
        <v>21992</v>
      </c>
      <c r="AN349" s="259">
        <v>55963</v>
      </c>
      <c r="AO349" s="259">
        <v>159398</v>
      </c>
      <c r="AP349" s="259">
        <v>245716</v>
      </c>
      <c r="AQ349" s="259">
        <v>80528</v>
      </c>
      <c r="AR349" s="259">
        <v>154798</v>
      </c>
      <c r="AS349" s="259">
        <v>244665</v>
      </c>
      <c r="AT349" s="259">
        <v>337947</v>
      </c>
      <c r="AU349" s="259">
        <v>81780</v>
      </c>
      <c r="AV349" s="259">
        <v>152447</v>
      </c>
      <c r="AW349" s="259">
        <v>222756</v>
      </c>
      <c r="AX349" s="259">
        <v>315640</v>
      </c>
      <c r="AY349" s="259">
        <v>90184</v>
      </c>
      <c r="AZ349" s="259">
        <v>174998</v>
      </c>
      <c r="BA349" s="259">
        <v>274119</v>
      </c>
      <c r="BB349" s="259">
        <v>367529</v>
      </c>
      <c r="BC349" s="259">
        <v>83634</v>
      </c>
      <c r="BD349" s="259">
        <v>188135</v>
      </c>
      <c r="BE349" s="259">
        <v>320554</v>
      </c>
      <c r="BF349" s="259">
        <v>567393</v>
      </c>
    </row>
    <row r="350" spans="1:58" x14ac:dyDescent="0.3">
      <c r="A350" s="255" t="s">
        <v>1059</v>
      </c>
      <c r="B350" s="257">
        <v>2</v>
      </c>
      <c r="C350" s="257">
        <v>600</v>
      </c>
      <c r="D350" s="257">
        <v>-4019</v>
      </c>
      <c r="E350" s="257">
        <v>-2572</v>
      </c>
      <c r="F350" s="256" t="s">
        <v>792</v>
      </c>
      <c r="G350" s="256" t="s">
        <v>792</v>
      </c>
      <c r="H350" s="256" t="s">
        <v>792</v>
      </c>
      <c r="I350" s="256" t="s">
        <v>792</v>
      </c>
      <c r="J350" s="256" t="s">
        <v>792</v>
      </c>
      <c r="K350" s="256" t="s">
        <v>792</v>
      </c>
      <c r="L350" s="256" t="s">
        <v>792</v>
      </c>
      <c r="M350" s="256" t="s">
        <v>792</v>
      </c>
      <c r="N350" s="256" t="s">
        <v>792</v>
      </c>
      <c r="O350" s="256" t="s">
        <v>792</v>
      </c>
      <c r="P350" s="256" t="s">
        <v>792</v>
      </c>
      <c r="Q350" s="256" t="s">
        <v>792</v>
      </c>
      <c r="R350" s="256" t="s">
        <v>792</v>
      </c>
      <c r="S350" s="256" t="s">
        <v>792</v>
      </c>
      <c r="T350" s="256" t="s">
        <v>792</v>
      </c>
      <c r="U350" s="256" t="s">
        <v>792</v>
      </c>
      <c r="V350" s="256" t="s">
        <v>792</v>
      </c>
      <c r="W350" s="256" t="s">
        <v>792</v>
      </c>
      <c r="X350" s="256" t="s">
        <v>792</v>
      </c>
      <c r="Y350" s="256" t="s">
        <v>792</v>
      </c>
      <c r="Z350" s="256" t="s">
        <v>792</v>
      </c>
      <c r="AA350" s="256" t="s">
        <v>792</v>
      </c>
      <c r="AB350" s="256" t="s">
        <v>792</v>
      </c>
      <c r="AC350" s="256" t="s">
        <v>792</v>
      </c>
      <c r="AD350" s="256" t="s">
        <v>792</v>
      </c>
      <c r="AE350" s="256" t="s">
        <v>792</v>
      </c>
      <c r="AF350" s="256" t="s">
        <v>792</v>
      </c>
      <c r="AG350" s="256" t="s">
        <v>792</v>
      </c>
      <c r="AH350" s="256" t="s">
        <v>792</v>
      </c>
      <c r="AI350" s="256" t="s">
        <v>792</v>
      </c>
      <c r="AJ350" s="256" t="s">
        <v>792</v>
      </c>
      <c r="AK350" s="256" t="s">
        <v>792</v>
      </c>
      <c r="AL350" s="256" t="s">
        <v>792</v>
      </c>
      <c r="AM350" s="256" t="s">
        <v>792</v>
      </c>
      <c r="AN350" s="256" t="s">
        <v>792</v>
      </c>
      <c r="AO350" s="256" t="s">
        <v>792</v>
      </c>
      <c r="AP350" s="256" t="s">
        <v>792</v>
      </c>
      <c r="AQ350" s="256" t="s">
        <v>792</v>
      </c>
      <c r="AR350" s="256" t="s">
        <v>792</v>
      </c>
      <c r="AS350" s="256" t="s">
        <v>792</v>
      </c>
      <c r="AT350" s="256" t="s">
        <v>792</v>
      </c>
      <c r="AU350" s="256" t="s">
        <v>792</v>
      </c>
      <c r="AV350" s="256" t="s">
        <v>792</v>
      </c>
      <c r="AW350" s="256" t="s">
        <v>792</v>
      </c>
      <c r="AX350" s="256" t="s">
        <v>792</v>
      </c>
      <c r="AY350" s="256" t="s">
        <v>792</v>
      </c>
      <c r="AZ350" s="256" t="s">
        <v>792</v>
      </c>
      <c r="BA350" s="256" t="s">
        <v>792</v>
      </c>
      <c r="BB350" s="256" t="s">
        <v>792</v>
      </c>
      <c r="BC350" s="256" t="s">
        <v>792</v>
      </c>
      <c r="BD350" s="256" t="s">
        <v>792</v>
      </c>
      <c r="BE350" s="256" t="s">
        <v>792</v>
      </c>
      <c r="BF350" s="256" t="s">
        <v>792</v>
      </c>
    </row>
    <row r="351" spans="1:58" x14ac:dyDescent="0.3">
      <c r="A351" s="258" t="s">
        <v>1060</v>
      </c>
      <c r="B351" s="259">
        <v>2</v>
      </c>
      <c r="C351" s="259">
        <v>600</v>
      </c>
      <c r="D351" s="259">
        <v>672</v>
      </c>
      <c r="E351" s="259">
        <v>0</v>
      </c>
      <c r="F351" s="264" t="s">
        <v>792</v>
      </c>
      <c r="G351" s="264" t="s">
        <v>792</v>
      </c>
      <c r="H351" s="264" t="s">
        <v>792</v>
      </c>
      <c r="I351" s="264" t="s">
        <v>792</v>
      </c>
      <c r="J351" s="264" t="s">
        <v>792</v>
      </c>
      <c r="K351" s="264" t="s">
        <v>792</v>
      </c>
      <c r="L351" s="264" t="s">
        <v>792</v>
      </c>
      <c r="M351" s="264" t="s">
        <v>792</v>
      </c>
      <c r="N351" s="264" t="s">
        <v>792</v>
      </c>
      <c r="O351" s="264" t="s">
        <v>792</v>
      </c>
      <c r="P351" s="264" t="s">
        <v>792</v>
      </c>
      <c r="Q351" s="264" t="s">
        <v>792</v>
      </c>
      <c r="R351" s="264" t="s">
        <v>792</v>
      </c>
      <c r="S351" s="264" t="s">
        <v>792</v>
      </c>
      <c r="T351" s="264" t="s">
        <v>792</v>
      </c>
      <c r="U351" s="264" t="s">
        <v>792</v>
      </c>
      <c r="V351" s="264" t="s">
        <v>792</v>
      </c>
      <c r="W351" s="264" t="s">
        <v>792</v>
      </c>
      <c r="X351" s="264" t="s">
        <v>792</v>
      </c>
      <c r="Y351" s="264" t="s">
        <v>792</v>
      </c>
      <c r="Z351" s="264" t="s">
        <v>792</v>
      </c>
      <c r="AA351" s="264" t="s">
        <v>792</v>
      </c>
      <c r="AB351" s="264" t="s">
        <v>792</v>
      </c>
      <c r="AC351" s="264" t="s">
        <v>792</v>
      </c>
      <c r="AD351" s="264" t="s">
        <v>792</v>
      </c>
      <c r="AE351" s="264" t="s">
        <v>792</v>
      </c>
      <c r="AF351" s="264" t="s">
        <v>792</v>
      </c>
      <c r="AG351" s="264" t="s">
        <v>792</v>
      </c>
      <c r="AH351" s="264" t="s">
        <v>792</v>
      </c>
      <c r="AI351" s="264" t="s">
        <v>792</v>
      </c>
      <c r="AJ351" s="264" t="s">
        <v>792</v>
      </c>
      <c r="AK351" s="264" t="s">
        <v>792</v>
      </c>
      <c r="AL351" s="264" t="s">
        <v>792</v>
      </c>
      <c r="AM351" s="264" t="s">
        <v>792</v>
      </c>
      <c r="AN351" s="264" t="s">
        <v>792</v>
      </c>
      <c r="AO351" s="264" t="s">
        <v>792</v>
      </c>
      <c r="AP351" s="264" t="s">
        <v>792</v>
      </c>
      <c r="AQ351" s="264" t="s">
        <v>792</v>
      </c>
      <c r="AR351" s="264" t="s">
        <v>792</v>
      </c>
      <c r="AS351" s="264" t="s">
        <v>792</v>
      </c>
      <c r="AT351" s="264" t="s">
        <v>792</v>
      </c>
      <c r="AU351" s="264" t="s">
        <v>792</v>
      </c>
      <c r="AV351" s="264" t="s">
        <v>792</v>
      </c>
      <c r="AW351" s="264" t="s">
        <v>792</v>
      </c>
      <c r="AX351" s="264" t="s">
        <v>792</v>
      </c>
      <c r="AY351" s="264" t="s">
        <v>792</v>
      </c>
      <c r="AZ351" s="264" t="s">
        <v>792</v>
      </c>
      <c r="BA351" s="264" t="s">
        <v>792</v>
      </c>
      <c r="BB351" s="264" t="s">
        <v>792</v>
      </c>
      <c r="BC351" s="264" t="s">
        <v>792</v>
      </c>
      <c r="BD351" s="264" t="s">
        <v>792</v>
      </c>
      <c r="BE351" s="264" t="s">
        <v>792</v>
      </c>
      <c r="BF351" s="264" t="s">
        <v>792</v>
      </c>
    </row>
    <row r="352" spans="1:58" x14ac:dyDescent="0.3">
      <c r="A352" s="258" t="s">
        <v>1061</v>
      </c>
      <c r="B352" s="259">
        <v>0</v>
      </c>
      <c r="C352" s="259">
        <v>0</v>
      </c>
      <c r="D352" s="259">
        <v>4691</v>
      </c>
      <c r="E352" s="259">
        <v>2572</v>
      </c>
      <c r="F352" s="264" t="s">
        <v>792</v>
      </c>
      <c r="G352" s="264" t="s">
        <v>792</v>
      </c>
      <c r="H352" s="264" t="s">
        <v>792</v>
      </c>
      <c r="I352" s="264" t="s">
        <v>792</v>
      </c>
      <c r="J352" s="264" t="s">
        <v>792</v>
      </c>
      <c r="K352" s="264" t="s">
        <v>792</v>
      </c>
      <c r="L352" s="264" t="s">
        <v>792</v>
      </c>
      <c r="M352" s="264" t="s">
        <v>792</v>
      </c>
      <c r="N352" s="264" t="s">
        <v>792</v>
      </c>
      <c r="O352" s="264" t="s">
        <v>792</v>
      </c>
      <c r="P352" s="264" t="s">
        <v>792</v>
      </c>
      <c r="Q352" s="264" t="s">
        <v>792</v>
      </c>
      <c r="R352" s="264" t="s">
        <v>792</v>
      </c>
      <c r="S352" s="264" t="s">
        <v>792</v>
      </c>
      <c r="T352" s="264" t="s">
        <v>792</v>
      </c>
      <c r="U352" s="264" t="s">
        <v>792</v>
      </c>
      <c r="V352" s="264" t="s">
        <v>792</v>
      </c>
      <c r="W352" s="264" t="s">
        <v>792</v>
      </c>
      <c r="X352" s="264" t="s">
        <v>792</v>
      </c>
      <c r="Y352" s="264" t="s">
        <v>792</v>
      </c>
      <c r="Z352" s="264" t="s">
        <v>792</v>
      </c>
      <c r="AA352" s="264" t="s">
        <v>792</v>
      </c>
      <c r="AB352" s="264" t="s">
        <v>792</v>
      </c>
      <c r="AC352" s="264" t="s">
        <v>792</v>
      </c>
      <c r="AD352" s="264" t="s">
        <v>792</v>
      </c>
      <c r="AE352" s="264" t="s">
        <v>792</v>
      </c>
      <c r="AF352" s="264" t="s">
        <v>792</v>
      </c>
      <c r="AG352" s="264" t="s">
        <v>792</v>
      </c>
      <c r="AH352" s="264" t="s">
        <v>792</v>
      </c>
      <c r="AI352" s="264" t="s">
        <v>792</v>
      </c>
      <c r="AJ352" s="264" t="s">
        <v>792</v>
      </c>
      <c r="AK352" s="264" t="s">
        <v>792</v>
      </c>
      <c r="AL352" s="264" t="s">
        <v>792</v>
      </c>
      <c r="AM352" s="264" t="s">
        <v>792</v>
      </c>
      <c r="AN352" s="264" t="s">
        <v>792</v>
      </c>
      <c r="AO352" s="264" t="s">
        <v>792</v>
      </c>
      <c r="AP352" s="264" t="s">
        <v>792</v>
      </c>
      <c r="AQ352" s="264" t="s">
        <v>792</v>
      </c>
      <c r="AR352" s="264" t="s">
        <v>792</v>
      </c>
      <c r="AS352" s="264" t="s">
        <v>792</v>
      </c>
      <c r="AT352" s="264" t="s">
        <v>792</v>
      </c>
      <c r="AU352" s="264" t="s">
        <v>792</v>
      </c>
      <c r="AV352" s="264" t="s">
        <v>792</v>
      </c>
      <c r="AW352" s="264" t="s">
        <v>792</v>
      </c>
      <c r="AX352" s="264" t="s">
        <v>792</v>
      </c>
      <c r="AY352" s="264" t="s">
        <v>792</v>
      </c>
      <c r="AZ352" s="264" t="s">
        <v>792</v>
      </c>
      <c r="BA352" s="264" t="s">
        <v>792</v>
      </c>
      <c r="BB352" s="264" t="s">
        <v>792</v>
      </c>
      <c r="BC352" s="264" t="s">
        <v>792</v>
      </c>
      <c r="BD352" s="264" t="s">
        <v>792</v>
      </c>
      <c r="BE352" s="264" t="s">
        <v>792</v>
      </c>
      <c r="BF352" s="264" t="s">
        <v>792</v>
      </c>
    </row>
    <row r="353" spans="1:58" x14ac:dyDescent="0.3">
      <c r="A353" s="255" t="s">
        <v>1062</v>
      </c>
      <c r="B353" s="257">
        <v>-17025</v>
      </c>
      <c r="C353" s="257">
        <v>-24976</v>
      </c>
      <c r="D353" s="257">
        <v>-49429</v>
      </c>
      <c r="E353" s="257">
        <v>-85616</v>
      </c>
      <c r="F353" s="256" t="s">
        <v>792</v>
      </c>
      <c r="G353" s="256" t="s">
        <v>792</v>
      </c>
      <c r="H353" s="256" t="s">
        <v>792</v>
      </c>
      <c r="I353" s="256" t="s">
        <v>792</v>
      </c>
      <c r="J353" s="256" t="s">
        <v>792</v>
      </c>
      <c r="K353" s="256" t="s">
        <v>792</v>
      </c>
      <c r="L353" s="256" t="s">
        <v>792</v>
      </c>
      <c r="M353" s="256" t="s">
        <v>792</v>
      </c>
      <c r="N353" s="256" t="s">
        <v>792</v>
      </c>
      <c r="O353" s="256" t="s">
        <v>792</v>
      </c>
      <c r="P353" s="256" t="s">
        <v>792</v>
      </c>
      <c r="Q353" s="256" t="s">
        <v>792</v>
      </c>
      <c r="R353" s="256" t="s">
        <v>792</v>
      </c>
      <c r="S353" s="256" t="s">
        <v>792</v>
      </c>
      <c r="T353" s="256" t="s">
        <v>792</v>
      </c>
      <c r="U353" s="256" t="s">
        <v>792</v>
      </c>
      <c r="V353" s="256" t="s">
        <v>792</v>
      </c>
      <c r="W353" s="256" t="s">
        <v>792</v>
      </c>
      <c r="X353" s="256" t="s">
        <v>792</v>
      </c>
      <c r="Y353" s="256" t="s">
        <v>792</v>
      </c>
      <c r="Z353" s="256" t="s">
        <v>792</v>
      </c>
      <c r="AA353" s="256" t="s">
        <v>792</v>
      </c>
      <c r="AB353" s="256" t="s">
        <v>792</v>
      </c>
      <c r="AC353" s="256" t="s">
        <v>792</v>
      </c>
      <c r="AD353" s="256" t="s">
        <v>792</v>
      </c>
      <c r="AE353" s="256" t="s">
        <v>792</v>
      </c>
      <c r="AF353" s="256" t="s">
        <v>792</v>
      </c>
      <c r="AG353" s="256" t="s">
        <v>792</v>
      </c>
      <c r="AH353" s="256" t="s">
        <v>792</v>
      </c>
      <c r="AI353" s="256" t="s">
        <v>792</v>
      </c>
      <c r="AJ353" s="256" t="s">
        <v>792</v>
      </c>
      <c r="AK353" s="256" t="s">
        <v>792</v>
      </c>
      <c r="AL353" s="256" t="s">
        <v>792</v>
      </c>
      <c r="AM353" s="256" t="s">
        <v>792</v>
      </c>
      <c r="AN353" s="256" t="s">
        <v>792</v>
      </c>
      <c r="AO353" s="256" t="s">
        <v>792</v>
      </c>
      <c r="AP353" s="256" t="s">
        <v>792</v>
      </c>
      <c r="AQ353" s="256" t="s">
        <v>792</v>
      </c>
      <c r="AR353" s="256" t="s">
        <v>792</v>
      </c>
      <c r="AS353" s="256" t="s">
        <v>792</v>
      </c>
      <c r="AT353" s="256" t="s">
        <v>792</v>
      </c>
      <c r="AU353" s="256" t="s">
        <v>792</v>
      </c>
      <c r="AV353" s="256" t="s">
        <v>792</v>
      </c>
      <c r="AW353" s="256" t="s">
        <v>792</v>
      </c>
      <c r="AX353" s="256" t="s">
        <v>792</v>
      </c>
      <c r="AY353" s="256" t="s">
        <v>792</v>
      </c>
      <c r="AZ353" s="256" t="s">
        <v>792</v>
      </c>
      <c r="BA353" s="256" t="s">
        <v>792</v>
      </c>
      <c r="BB353" s="256" t="s">
        <v>792</v>
      </c>
      <c r="BC353" s="256" t="s">
        <v>792</v>
      </c>
      <c r="BD353" s="256" t="s">
        <v>792</v>
      </c>
      <c r="BE353" s="256" t="s">
        <v>792</v>
      </c>
      <c r="BF353" s="256" t="s">
        <v>792</v>
      </c>
    </row>
    <row r="354" spans="1:58" x14ac:dyDescent="0.3">
      <c r="A354" s="255" t="s">
        <v>1063</v>
      </c>
      <c r="B354" s="257">
        <v>5715</v>
      </c>
      <c r="C354" s="257">
        <v>6167</v>
      </c>
      <c r="D354" s="257">
        <v>12444</v>
      </c>
      <c r="E354" s="257">
        <v>18648</v>
      </c>
      <c r="F354" s="256" t="s">
        <v>792</v>
      </c>
      <c r="G354" s="256" t="s">
        <v>792</v>
      </c>
      <c r="H354" s="256" t="s">
        <v>792</v>
      </c>
      <c r="I354" s="256" t="s">
        <v>792</v>
      </c>
      <c r="J354" s="256" t="s">
        <v>792</v>
      </c>
      <c r="K354" s="256" t="s">
        <v>792</v>
      </c>
      <c r="L354" s="256" t="s">
        <v>792</v>
      </c>
      <c r="M354" s="256" t="s">
        <v>792</v>
      </c>
      <c r="N354" s="256" t="s">
        <v>792</v>
      </c>
      <c r="O354" s="256" t="s">
        <v>792</v>
      </c>
      <c r="P354" s="256" t="s">
        <v>792</v>
      </c>
      <c r="Q354" s="256" t="s">
        <v>792</v>
      </c>
      <c r="R354" s="256" t="s">
        <v>792</v>
      </c>
      <c r="S354" s="256" t="s">
        <v>792</v>
      </c>
      <c r="T354" s="256" t="s">
        <v>792</v>
      </c>
      <c r="U354" s="256" t="s">
        <v>792</v>
      </c>
      <c r="V354" s="256" t="s">
        <v>792</v>
      </c>
      <c r="W354" s="256" t="s">
        <v>792</v>
      </c>
      <c r="X354" s="256" t="s">
        <v>792</v>
      </c>
      <c r="Y354" s="256" t="s">
        <v>792</v>
      </c>
      <c r="Z354" s="256" t="s">
        <v>792</v>
      </c>
      <c r="AA354" s="256" t="s">
        <v>792</v>
      </c>
      <c r="AB354" s="256" t="s">
        <v>792</v>
      </c>
      <c r="AC354" s="256" t="s">
        <v>792</v>
      </c>
      <c r="AD354" s="256" t="s">
        <v>792</v>
      </c>
      <c r="AE354" s="256" t="s">
        <v>792</v>
      </c>
      <c r="AF354" s="256" t="s">
        <v>792</v>
      </c>
      <c r="AG354" s="256" t="s">
        <v>792</v>
      </c>
      <c r="AH354" s="256" t="s">
        <v>792</v>
      </c>
      <c r="AI354" s="256" t="s">
        <v>792</v>
      </c>
      <c r="AJ354" s="256" t="s">
        <v>792</v>
      </c>
      <c r="AK354" s="256" t="s">
        <v>792</v>
      </c>
      <c r="AL354" s="256" t="s">
        <v>792</v>
      </c>
      <c r="AM354" s="256" t="s">
        <v>792</v>
      </c>
      <c r="AN354" s="256" t="s">
        <v>792</v>
      </c>
      <c r="AO354" s="256" t="s">
        <v>792</v>
      </c>
      <c r="AP354" s="256" t="s">
        <v>792</v>
      </c>
      <c r="AQ354" s="256" t="s">
        <v>792</v>
      </c>
      <c r="AR354" s="256" t="s">
        <v>792</v>
      </c>
      <c r="AS354" s="256" t="s">
        <v>792</v>
      </c>
      <c r="AT354" s="256" t="s">
        <v>792</v>
      </c>
      <c r="AU354" s="256" t="s">
        <v>792</v>
      </c>
      <c r="AV354" s="256" t="s">
        <v>792</v>
      </c>
      <c r="AW354" s="256" t="s">
        <v>792</v>
      </c>
      <c r="AX354" s="256" t="s">
        <v>792</v>
      </c>
      <c r="AY354" s="256" t="s">
        <v>792</v>
      </c>
      <c r="AZ354" s="256" t="s">
        <v>792</v>
      </c>
      <c r="BA354" s="256" t="s">
        <v>792</v>
      </c>
      <c r="BB354" s="256" t="s">
        <v>792</v>
      </c>
      <c r="BC354" s="256" t="s">
        <v>792</v>
      </c>
      <c r="BD354" s="256" t="s">
        <v>792</v>
      </c>
      <c r="BE354" s="256" t="s">
        <v>792</v>
      </c>
      <c r="BF354" s="256" t="s">
        <v>792</v>
      </c>
    </row>
    <row r="355" spans="1:58" x14ac:dyDescent="0.3">
      <c r="A355" s="258" t="s">
        <v>969</v>
      </c>
      <c r="B355" s="259">
        <v>5770</v>
      </c>
      <c r="C355" s="259">
        <v>6907</v>
      </c>
      <c r="D355" s="259">
        <v>13492</v>
      </c>
      <c r="E355" s="259">
        <v>20053</v>
      </c>
      <c r="F355" s="259">
        <v>67496</v>
      </c>
      <c r="G355" s="259">
        <v>66099</v>
      </c>
      <c r="H355" s="259">
        <v>128136</v>
      </c>
      <c r="I355" s="259">
        <v>199956</v>
      </c>
      <c r="J355" s="259">
        <v>246512</v>
      </c>
      <c r="K355" s="259">
        <v>41833</v>
      </c>
      <c r="L355" s="259">
        <v>99984</v>
      </c>
      <c r="M355" s="259">
        <v>129823</v>
      </c>
      <c r="N355" s="259">
        <v>148100</v>
      </c>
      <c r="O355" s="259">
        <v>17718</v>
      </c>
      <c r="P355" s="259">
        <v>71898</v>
      </c>
      <c r="Q355" s="259">
        <v>107020</v>
      </c>
      <c r="R355" s="259">
        <v>134233</v>
      </c>
      <c r="S355" s="259">
        <v>10710</v>
      </c>
      <c r="T355" s="259">
        <v>22828</v>
      </c>
      <c r="U355" s="259">
        <v>52063</v>
      </c>
      <c r="V355" s="259">
        <v>81445</v>
      </c>
      <c r="W355" s="259">
        <v>59949</v>
      </c>
      <c r="X355" s="259">
        <v>115076</v>
      </c>
      <c r="Y355" s="259">
        <v>277886</v>
      </c>
      <c r="Z355" s="259">
        <v>332553</v>
      </c>
      <c r="AA355" s="259">
        <v>89896</v>
      </c>
      <c r="AB355" s="259">
        <v>176318</v>
      </c>
      <c r="AC355" s="259">
        <v>296028</v>
      </c>
      <c r="AD355" s="259">
        <v>313817</v>
      </c>
      <c r="AE355" s="259">
        <v>68333</v>
      </c>
      <c r="AF355" s="259">
        <v>100258</v>
      </c>
      <c r="AG355" s="259">
        <v>165016</v>
      </c>
      <c r="AH355" s="259">
        <v>171756</v>
      </c>
      <c r="AI355" s="259">
        <v>49311</v>
      </c>
      <c r="AJ355" s="259">
        <v>134176</v>
      </c>
      <c r="AK355" s="259">
        <v>246039</v>
      </c>
      <c r="AL355" s="259">
        <v>313524</v>
      </c>
      <c r="AM355" s="259">
        <v>60886</v>
      </c>
      <c r="AN355" s="259">
        <v>129877</v>
      </c>
      <c r="AO355" s="259">
        <v>199651</v>
      </c>
      <c r="AP355" s="259">
        <v>377142</v>
      </c>
      <c r="AQ355" s="259">
        <v>654267</v>
      </c>
      <c r="AR355" s="259">
        <v>759345</v>
      </c>
      <c r="AS355" s="259">
        <v>1034843</v>
      </c>
      <c r="AT355" s="259">
        <v>1469151</v>
      </c>
      <c r="AU355" s="259">
        <v>54154</v>
      </c>
      <c r="AV355" s="259">
        <v>573458</v>
      </c>
      <c r="AW355" s="259">
        <v>790761</v>
      </c>
      <c r="AX355" s="259">
        <v>946536</v>
      </c>
      <c r="AY355" s="259">
        <v>312508</v>
      </c>
      <c r="AZ355" s="259">
        <v>68617</v>
      </c>
      <c r="BA355" s="259">
        <v>224880</v>
      </c>
      <c r="BB355" s="259">
        <v>278680</v>
      </c>
      <c r="BC355" s="259">
        <v>292006</v>
      </c>
      <c r="BD355" s="259">
        <v>1062704</v>
      </c>
      <c r="BE355" s="259">
        <v>775842</v>
      </c>
      <c r="BF355" s="259">
        <v>1525252</v>
      </c>
    </row>
    <row r="356" spans="1:58" x14ac:dyDescent="0.3">
      <c r="A356" s="258" t="s">
        <v>1064</v>
      </c>
      <c r="B356" s="259">
        <v>55</v>
      </c>
      <c r="C356" s="259">
        <v>740</v>
      </c>
      <c r="D356" s="259">
        <v>1048</v>
      </c>
      <c r="E356" s="259">
        <v>1405</v>
      </c>
      <c r="F356" s="264" t="s">
        <v>792</v>
      </c>
      <c r="G356" s="264" t="s">
        <v>792</v>
      </c>
      <c r="H356" s="264" t="s">
        <v>792</v>
      </c>
      <c r="I356" s="264" t="s">
        <v>792</v>
      </c>
      <c r="J356" s="264" t="s">
        <v>792</v>
      </c>
      <c r="K356" s="264" t="s">
        <v>792</v>
      </c>
      <c r="L356" s="264" t="s">
        <v>792</v>
      </c>
      <c r="M356" s="264" t="s">
        <v>792</v>
      </c>
      <c r="N356" s="264" t="s">
        <v>792</v>
      </c>
      <c r="O356" s="264" t="s">
        <v>792</v>
      </c>
      <c r="P356" s="264" t="s">
        <v>792</v>
      </c>
      <c r="Q356" s="264" t="s">
        <v>792</v>
      </c>
      <c r="R356" s="264" t="s">
        <v>792</v>
      </c>
      <c r="S356" s="264" t="s">
        <v>792</v>
      </c>
      <c r="T356" s="264" t="s">
        <v>792</v>
      </c>
      <c r="U356" s="264" t="s">
        <v>792</v>
      </c>
      <c r="V356" s="264" t="s">
        <v>792</v>
      </c>
      <c r="W356" s="264" t="s">
        <v>792</v>
      </c>
      <c r="X356" s="264" t="s">
        <v>792</v>
      </c>
      <c r="Y356" s="264" t="s">
        <v>792</v>
      </c>
      <c r="Z356" s="264" t="s">
        <v>792</v>
      </c>
      <c r="AA356" s="264" t="s">
        <v>792</v>
      </c>
      <c r="AB356" s="264" t="s">
        <v>792</v>
      </c>
      <c r="AC356" s="264" t="s">
        <v>792</v>
      </c>
      <c r="AD356" s="264" t="s">
        <v>792</v>
      </c>
      <c r="AE356" s="264" t="s">
        <v>792</v>
      </c>
      <c r="AF356" s="264" t="s">
        <v>792</v>
      </c>
      <c r="AG356" s="264" t="s">
        <v>792</v>
      </c>
      <c r="AH356" s="264" t="s">
        <v>792</v>
      </c>
      <c r="AI356" s="264" t="s">
        <v>792</v>
      </c>
      <c r="AJ356" s="264" t="s">
        <v>792</v>
      </c>
      <c r="AK356" s="264" t="s">
        <v>792</v>
      </c>
      <c r="AL356" s="264" t="s">
        <v>792</v>
      </c>
      <c r="AM356" s="264" t="s">
        <v>792</v>
      </c>
      <c r="AN356" s="264" t="s">
        <v>792</v>
      </c>
      <c r="AO356" s="264" t="s">
        <v>792</v>
      </c>
      <c r="AP356" s="264" t="s">
        <v>792</v>
      </c>
      <c r="AQ356" s="264" t="s">
        <v>792</v>
      </c>
      <c r="AR356" s="264" t="s">
        <v>792</v>
      </c>
      <c r="AS356" s="264" t="s">
        <v>792</v>
      </c>
      <c r="AT356" s="264" t="s">
        <v>792</v>
      </c>
      <c r="AU356" s="264" t="s">
        <v>792</v>
      </c>
      <c r="AV356" s="264" t="s">
        <v>792</v>
      </c>
      <c r="AW356" s="264" t="s">
        <v>792</v>
      </c>
      <c r="AX356" s="264" t="s">
        <v>792</v>
      </c>
      <c r="AY356" s="264" t="s">
        <v>792</v>
      </c>
      <c r="AZ356" s="264" t="s">
        <v>792</v>
      </c>
      <c r="BA356" s="264" t="s">
        <v>792</v>
      </c>
      <c r="BB356" s="264" t="s">
        <v>792</v>
      </c>
      <c r="BC356" s="264" t="s">
        <v>792</v>
      </c>
      <c r="BD356" s="264" t="s">
        <v>792</v>
      </c>
      <c r="BE356" s="264" t="s">
        <v>792</v>
      </c>
      <c r="BF356" s="264" t="s">
        <v>792</v>
      </c>
    </row>
    <row r="357" spans="1:58" x14ac:dyDescent="0.3">
      <c r="A357" s="260" t="s">
        <v>1065</v>
      </c>
      <c r="B357" s="262">
        <v>55</v>
      </c>
      <c r="C357" s="262">
        <v>740</v>
      </c>
      <c r="D357" s="262">
        <v>1048</v>
      </c>
      <c r="E357" s="262">
        <v>1405</v>
      </c>
      <c r="F357" s="262">
        <v>14999</v>
      </c>
      <c r="G357" s="262">
        <v>5609</v>
      </c>
      <c r="H357" s="262">
        <v>18102</v>
      </c>
      <c r="I357" s="262">
        <v>21620</v>
      </c>
      <c r="J357" s="262">
        <v>20434</v>
      </c>
      <c r="K357" s="262">
        <v>12057</v>
      </c>
      <c r="L357" s="262">
        <v>17087</v>
      </c>
      <c r="M357" s="262">
        <v>16011</v>
      </c>
      <c r="N357" s="262">
        <v>21482</v>
      </c>
      <c r="O357" s="262">
        <v>12891</v>
      </c>
      <c r="P357" s="262">
        <v>41075</v>
      </c>
      <c r="Q357" s="262">
        <v>73151</v>
      </c>
      <c r="R357" s="262">
        <v>90167</v>
      </c>
      <c r="S357" s="262">
        <v>17820</v>
      </c>
      <c r="T357" s="262">
        <v>31575</v>
      </c>
      <c r="U357" s="262">
        <v>39951</v>
      </c>
      <c r="V357" s="262">
        <v>65573</v>
      </c>
      <c r="W357" s="262">
        <v>75753</v>
      </c>
      <c r="X357" s="262">
        <v>143007</v>
      </c>
      <c r="Y357" s="262">
        <v>276706</v>
      </c>
      <c r="Z357" s="262">
        <v>311873</v>
      </c>
      <c r="AA357" s="262">
        <v>112115</v>
      </c>
      <c r="AB357" s="262">
        <v>234414</v>
      </c>
      <c r="AC357" s="262">
        <v>244130</v>
      </c>
      <c r="AD357" s="262">
        <v>319950</v>
      </c>
      <c r="AE357" s="262">
        <v>46731</v>
      </c>
      <c r="AF357" s="262">
        <v>67964</v>
      </c>
      <c r="AG357" s="262">
        <v>118498</v>
      </c>
      <c r="AH357" s="262">
        <v>185531</v>
      </c>
      <c r="AI357" s="262">
        <v>44818</v>
      </c>
      <c r="AJ357" s="262">
        <v>117506</v>
      </c>
      <c r="AK357" s="262">
        <v>200228</v>
      </c>
      <c r="AL357" s="262">
        <v>242447</v>
      </c>
      <c r="AM357" s="262">
        <v>131019</v>
      </c>
      <c r="AN357" s="262">
        <v>281670</v>
      </c>
      <c r="AO357" s="262">
        <v>520322</v>
      </c>
      <c r="AP357" s="262">
        <v>714396</v>
      </c>
      <c r="AQ357" s="262">
        <v>757750</v>
      </c>
      <c r="AR357" s="262">
        <v>1087472</v>
      </c>
      <c r="AS357" s="262">
        <v>1545151</v>
      </c>
      <c r="AT357" s="262">
        <v>1927820</v>
      </c>
      <c r="AU357" s="262">
        <v>416202</v>
      </c>
      <c r="AV357" s="262">
        <v>795085</v>
      </c>
      <c r="AW357" s="262">
        <v>1276695</v>
      </c>
      <c r="AX357" s="262">
        <v>1568858</v>
      </c>
      <c r="AY357" s="262">
        <v>357978</v>
      </c>
      <c r="AZ357" s="262">
        <v>305985</v>
      </c>
      <c r="BA357" s="262">
        <v>493446</v>
      </c>
      <c r="BB357" s="262">
        <v>558099</v>
      </c>
      <c r="BC357" s="262">
        <v>556296</v>
      </c>
      <c r="BD357" s="262">
        <v>1668048</v>
      </c>
      <c r="BE357" s="262">
        <v>1493283</v>
      </c>
      <c r="BF357" s="262">
        <v>2576442</v>
      </c>
    </row>
    <row r="358" spans="1:58" x14ac:dyDescent="0.3">
      <c r="A358" s="260" t="s">
        <v>1066</v>
      </c>
      <c r="B358" s="262">
        <v>0</v>
      </c>
      <c r="C358" s="262">
        <v>0</v>
      </c>
      <c r="D358" s="262">
        <v>0</v>
      </c>
      <c r="E358" s="262">
        <v>0</v>
      </c>
      <c r="F358" s="261" t="s">
        <v>792</v>
      </c>
      <c r="G358" s="261" t="s">
        <v>792</v>
      </c>
      <c r="H358" s="261" t="s">
        <v>792</v>
      </c>
      <c r="I358" s="261" t="s">
        <v>792</v>
      </c>
      <c r="J358" s="261" t="s">
        <v>792</v>
      </c>
      <c r="K358" s="261" t="s">
        <v>792</v>
      </c>
      <c r="L358" s="261" t="s">
        <v>792</v>
      </c>
      <c r="M358" s="261" t="s">
        <v>792</v>
      </c>
      <c r="N358" s="261" t="s">
        <v>792</v>
      </c>
      <c r="O358" s="261" t="s">
        <v>792</v>
      </c>
      <c r="P358" s="261" t="s">
        <v>792</v>
      </c>
      <c r="Q358" s="261" t="s">
        <v>792</v>
      </c>
      <c r="R358" s="261" t="s">
        <v>792</v>
      </c>
      <c r="S358" s="261" t="s">
        <v>792</v>
      </c>
      <c r="T358" s="261" t="s">
        <v>792</v>
      </c>
      <c r="U358" s="261" t="s">
        <v>792</v>
      </c>
      <c r="V358" s="261" t="s">
        <v>792</v>
      </c>
      <c r="W358" s="261" t="s">
        <v>792</v>
      </c>
      <c r="X358" s="261" t="s">
        <v>792</v>
      </c>
      <c r="Y358" s="261" t="s">
        <v>792</v>
      </c>
      <c r="Z358" s="261" t="s">
        <v>792</v>
      </c>
      <c r="AA358" s="261" t="s">
        <v>792</v>
      </c>
      <c r="AB358" s="261" t="s">
        <v>792</v>
      </c>
      <c r="AC358" s="261" t="s">
        <v>792</v>
      </c>
      <c r="AD358" s="261" t="s">
        <v>792</v>
      </c>
      <c r="AE358" s="261" t="s">
        <v>792</v>
      </c>
      <c r="AF358" s="261" t="s">
        <v>792</v>
      </c>
      <c r="AG358" s="261" t="s">
        <v>792</v>
      </c>
      <c r="AH358" s="261" t="s">
        <v>792</v>
      </c>
      <c r="AI358" s="261" t="s">
        <v>792</v>
      </c>
      <c r="AJ358" s="261" t="s">
        <v>792</v>
      </c>
      <c r="AK358" s="261" t="s">
        <v>792</v>
      </c>
      <c r="AL358" s="261" t="s">
        <v>792</v>
      </c>
      <c r="AM358" s="261" t="s">
        <v>792</v>
      </c>
      <c r="AN358" s="261" t="s">
        <v>792</v>
      </c>
      <c r="AO358" s="261" t="s">
        <v>792</v>
      </c>
      <c r="AP358" s="261" t="s">
        <v>792</v>
      </c>
      <c r="AQ358" s="261" t="s">
        <v>792</v>
      </c>
      <c r="AR358" s="261" t="s">
        <v>792</v>
      </c>
      <c r="AS358" s="261" t="s">
        <v>792</v>
      </c>
      <c r="AT358" s="261" t="s">
        <v>792</v>
      </c>
      <c r="AU358" s="261" t="s">
        <v>792</v>
      </c>
      <c r="AV358" s="261" t="s">
        <v>792</v>
      </c>
      <c r="AW358" s="261" t="s">
        <v>792</v>
      </c>
      <c r="AX358" s="261" t="s">
        <v>792</v>
      </c>
      <c r="AY358" s="261" t="s">
        <v>792</v>
      </c>
      <c r="AZ358" s="261" t="s">
        <v>792</v>
      </c>
      <c r="BA358" s="261" t="s">
        <v>792</v>
      </c>
      <c r="BB358" s="261" t="s">
        <v>792</v>
      </c>
      <c r="BC358" s="261" t="s">
        <v>792</v>
      </c>
      <c r="BD358" s="261" t="s">
        <v>792</v>
      </c>
      <c r="BE358" s="261" t="s">
        <v>792</v>
      </c>
      <c r="BF358" s="261" t="s">
        <v>792</v>
      </c>
    </row>
    <row r="359" spans="1:58" x14ac:dyDescent="0.3">
      <c r="A359" s="255" t="s">
        <v>1067</v>
      </c>
      <c r="B359" s="257">
        <v>0</v>
      </c>
      <c r="C359" s="257">
        <v>0</v>
      </c>
      <c r="D359" s="257">
        <v>0</v>
      </c>
      <c r="E359" s="257">
        <v>0</v>
      </c>
      <c r="F359" s="257">
        <v>0</v>
      </c>
      <c r="G359" s="257">
        <v>0</v>
      </c>
      <c r="H359" s="257">
        <v>0</v>
      </c>
      <c r="I359" s="257">
        <v>0</v>
      </c>
      <c r="J359" s="257">
        <v>0</v>
      </c>
      <c r="K359" s="257">
        <v>0</v>
      </c>
      <c r="L359" s="257">
        <v>0</v>
      </c>
      <c r="M359" s="257">
        <v>0</v>
      </c>
      <c r="N359" s="257">
        <v>0</v>
      </c>
      <c r="O359" s="257">
        <v>0</v>
      </c>
      <c r="P359" s="257">
        <v>0</v>
      </c>
      <c r="Q359" s="257">
        <v>0</v>
      </c>
      <c r="R359" s="257">
        <v>0</v>
      </c>
      <c r="S359" s="257">
        <v>0</v>
      </c>
      <c r="T359" s="257">
        <v>0</v>
      </c>
      <c r="U359" s="257">
        <v>0</v>
      </c>
      <c r="V359" s="257">
        <v>0</v>
      </c>
      <c r="W359" s="257">
        <v>0</v>
      </c>
      <c r="X359" s="257">
        <v>0</v>
      </c>
      <c r="Y359" s="257">
        <v>0</v>
      </c>
      <c r="Z359" s="257">
        <v>0</v>
      </c>
      <c r="AA359" s="257">
        <v>0</v>
      </c>
      <c r="AB359" s="257">
        <v>0</v>
      </c>
      <c r="AC359" s="257">
        <v>0</v>
      </c>
      <c r="AD359" s="257">
        <v>0</v>
      </c>
      <c r="AE359" s="257">
        <v>0</v>
      </c>
      <c r="AF359" s="257">
        <v>0</v>
      </c>
      <c r="AG359" s="257">
        <v>0</v>
      </c>
      <c r="AH359" s="257">
        <v>0</v>
      </c>
      <c r="AI359" s="257">
        <v>0</v>
      </c>
      <c r="AJ359" s="257">
        <v>0</v>
      </c>
      <c r="AK359" s="257">
        <v>0</v>
      </c>
      <c r="AL359" s="257">
        <v>0</v>
      </c>
      <c r="AM359" s="257">
        <v>0</v>
      </c>
      <c r="AN359" s="257">
        <v>0</v>
      </c>
      <c r="AO359" s="257">
        <v>0</v>
      </c>
      <c r="AP359" s="257">
        <v>0</v>
      </c>
      <c r="AQ359" s="257">
        <v>0</v>
      </c>
      <c r="AR359" s="257">
        <v>0</v>
      </c>
      <c r="AS359" s="257">
        <v>0</v>
      </c>
      <c r="AT359" s="257">
        <v>0</v>
      </c>
      <c r="AU359" s="257">
        <v>0</v>
      </c>
      <c r="AV359" s="257">
        <v>0</v>
      </c>
      <c r="AW359" s="257">
        <v>0</v>
      </c>
      <c r="AX359" s="257">
        <v>0</v>
      </c>
      <c r="AY359" s="257">
        <v>0</v>
      </c>
      <c r="AZ359" s="257">
        <v>0</v>
      </c>
      <c r="BA359" s="257">
        <v>0</v>
      </c>
      <c r="BB359" s="257">
        <v>0</v>
      </c>
      <c r="BC359" s="257">
        <v>0</v>
      </c>
      <c r="BD359" s="257">
        <v>0</v>
      </c>
      <c r="BE359" s="257">
        <v>0</v>
      </c>
      <c r="BF359" s="257">
        <v>0</v>
      </c>
    </row>
    <row r="360" spans="1:58" x14ac:dyDescent="0.3">
      <c r="A360" s="255" t="s">
        <v>1068</v>
      </c>
      <c r="B360" s="257">
        <v>-11310</v>
      </c>
      <c r="C360" s="257">
        <v>-18809</v>
      </c>
      <c r="D360" s="257">
        <v>-36985</v>
      </c>
      <c r="E360" s="257">
        <v>-66968</v>
      </c>
      <c r="F360" s="256" t="s">
        <v>792</v>
      </c>
      <c r="G360" s="256" t="s">
        <v>792</v>
      </c>
      <c r="H360" s="256" t="s">
        <v>792</v>
      </c>
      <c r="I360" s="256" t="s">
        <v>792</v>
      </c>
      <c r="J360" s="256" t="s">
        <v>792</v>
      </c>
      <c r="K360" s="256" t="s">
        <v>792</v>
      </c>
      <c r="L360" s="256" t="s">
        <v>792</v>
      </c>
      <c r="M360" s="256" t="s">
        <v>792</v>
      </c>
      <c r="N360" s="256" t="s">
        <v>792</v>
      </c>
      <c r="O360" s="256" t="s">
        <v>792</v>
      </c>
      <c r="P360" s="256" t="s">
        <v>792</v>
      </c>
      <c r="Q360" s="256" t="s">
        <v>792</v>
      </c>
      <c r="R360" s="256" t="s">
        <v>792</v>
      </c>
      <c r="S360" s="256" t="s">
        <v>792</v>
      </c>
      <c r="T360" s="256" t="s">
        <v>792</v>
      </c>
      <c r="U360" s="256" t="s">
        <v>792</v>
      </c>
      <c r="V360" s="256" t="s">
        <v>792</v>
      </c>
      <c r="W360" s="256" t="s">
        <v>792</v>
      </c>
      <c r="X360" s="256" t="s">
        <v>792</v>
      </c>
      <c r="Y360" s="256" t="s">
        <v>792</v>
      </c>
      <c r="Z360" s="256" t="s">
        <v>792</v>
      </c>
      <c r="AA360" s="256" t="s">
        <v>792</v>
      </c>
      <c r="AB360" s="256" t="s">
        <v>792</v>
      </c>
      <c r="AC360" s="256" t="s">
        <v>792</v>
      </c>
      <c r="AD360" s="256" t="s">
        <v>792</v>
      </c>
      <c r="AE360" s="256" t="s">
        <v>792</v>
      </c>
      <c r="AF360" s="256" t="s">
        <v>792</v>
      </c>
      <c r="AG360" s="256" t="s">
        <v>792</v>
      </c>
      <c r="AH360" s="256" t="s">
        <v>792</v>
      </c>
      <c r="AI360" s="256" t="s">
        <v>792</v>
      </c>
      <c r="AJ360" s="256" t="s">
        <v>792</v>
      </c>
      <c r="AK360" s="256" t="s">
        <v>792</v>
      </c>
      <c r="AL360" s="256" t="s">
        <v>792</v>
      </c>
      <c r="AM360" s="256" t="s">
        <v>792</v>
      </c>
      <c r="AN360" s="256" t="s">
        <v>792</v>
      </c>
      <c r="AO360" s="256" t="s">
        <v>792</v>
      </c>
      <c r="AP360" s="256" t="s">
        <v>792</v>
      </c>
      <c r="AQ360" s="256" t="s">
        <v>792</v>
      </c>
      <c r="AR360" s="256" t="s">
        <v>792</v>
      </c>
      <c r="AS360" s="256" t="s">
        <v>792</v>
      </c>
      <c r="AT360" s="256" t="s">
        <v>792</v>
      </c>
      <c r="AU360" s="256" t="s">
        <v>792</v>
      </c>
      <c r="AV360" s="256" t="s">
        <v>792</v>
      </c>
      <c r="AW360" s="256" t="s">
        <v>792</v>
      </c>
      <c r="AX360" s="256" t="s">
        <v>792</v>
      </c>
      <c r="AY360" s="256" t="s">
        <v>792</v>
      </c>
      <c r="AZ360" s="256" t="s">
        <v>792</v>
      </c>
      <c r="BA360" s="256" t="s">
        <v>792</v>
      </c>
      <c r="BB360" s="256" t="s">
        <v>792</v>
      </c>
      <c r="BC360" s="256" t="s">
        <v>792</v>
      </c>
      <c r="BD360" s="256" t="s">
        <v>792</v>
      </c>
      <c r="BE360" s="256" t="s">
        <v>792</v>
      </c>
      <c r="BF360" s="256" t="s">
        <v>792</v>
      </c>
    </row>
    <row r="361" spans="1:58" x14ac:dyDescent="0.3">
      <c r="A361" s="255" t="s">
        <v>1069</v>
      </c>
      <c r="B361" s="257">
        <v>0</v>
      </c>
      <c r="C361" s="257">
        <v>0</v>
      </c>
      <c r="D361" s="257">
        <v>0</v>
      </c>
      <c r="E361" s="257">
        <v>0</v>
      </c>
      <c r="F361" s="256" t="s">
        <v>792</v>
      </c>
      <c r="G361" s="256" t="s">
        <v>792</v>
      </c>
      <c r="H361" s="256" t="s">
        <v>792</v>
      </c>
      <c r="I361" s="256" t="s">
        <v>792</v>
      </c>
      <c r="J361" s="256" t="s">
        <v>792</v>
      </c>
      <c r="K361" s="256" t="s">
        <v>792</v>
      </c>
      <c r="L361" s="256" t="s">
        <v>792</v>
      </c>
      <c r="M361" s="256" t="s">
        <v>792</v>
      </c>
      <c r="N361" s="256" t="s">
        <v>792</v>
      </c>
      <c r="O361" s="256" t="s">
        <v>792</v>
      </c>
      <c r="P361" s="256" t="s">
        <v>792</v>
      </c>
      <c r="Q361" s="256" t="s">
        <v>792</v>
      </c>
      <c r="R361" s="256" t="s">
        <v>792</v>
      </c>
      <c r="S361" s="256" t="s">
        <v>792</v>
      </c>
      <c r="T361" s="256" t="s">
        <v>792</v>
      </c>
      <c r="U361" s="256" t="s">
        <v>792</v>
      </c>
      <c r="V361" s="256" t="s">
        <v>792</v>
      </c>
      <c r="W361" s="256" t="s">
        <v>792</v>
      </c>
      <c r="X361" s="256" t="s">
        <v>792</v>
      </c>
      <c r="Y361" s="256" t="s">
        <v>792</v>
      </c>
      <c r="Z361" s="256" t="s">
        <v>792</v>
      </c>
      <c r="AA361" s="256" t="s">
        <v>792</v>
      </c>
      <c r="AB361" s="256" t="s">
        <v>792</v>
      </c>
      <c r="AC361" s="256" t="s">
        <v>792</v>
      </c>
      <c r="AD361" s="256" t="s">
        <v>792</v>
      </c>
      <c r="AE361" s="256" t="s">
        <v>792</v>
      </c>
      <c r="AF361" s="256" t="s">
        <v>792</v>
      </c>
      <c r="AG361" s="256" t="s">
        <v>792</v>
      </c>
      <c r="AH361" s="256" t="s">
        <v>792</v>
      </c>
      <c r="AI361" s="256" t="s">
        <v>792</v>
      </c>
      <c r="AJ361" s="256" t="s">
        <v>792</v>
      </c>
      <c r="AK361" s="256" t="s">
        <v>792</v>
      </c>
      <c r="AL361" s="256" t="s">
        <v>792</v>
      </c>
      <c r="AM361" s="256" t="s">
        <v>792</v>
      </c>
      <c r="AN361" s="256" t="s">
        <v>792</v>
      </c>
      <c r="AO361" s="256" t="s">
        <v>792</v>
      </c>
      <c r="AP361" s="256" t="s">
        <v>792</v>
      </c>
      <c r="AQ361" s="256" t="s">
        <v>792</v>
      </c>
      <c r="AR361" s="256" t="s">
        <v>792</v>
      </c>
      <c r="AS361" s="256" t="s">
        <v>792</v>
      </c>
      <c r="AT361" s="256" t="s">
        <v>792</v>
      </c>
      <c r="AU361" s="256" t="s">
        <v>792</v>
      </c>
      <c r="AV361" s="256" t="s">
        <v>792</v>
      </c>
      <c r="AW361" s="256" t="s">
        <v>792</v>
      </c>
      <c r="AX361" s="256" t="s">
        <v>792</v>
      </c>
      <c r="AY361" s="256" t="s">
        <v>792</v>
      </c>
      <c r="AZ361" s="256" t="s">
        <v>792</v>
      </c>
      <c r="BA361" s="256" t="s">
        <v>792</v>
      </c>
      <c r="BB361" s="256" t="s">
        <v>792</v>
      </c>
      <c r="BC361" s="256" t="s">
        <v>792</v>
      </c>
      <c r="BD361" s="256" t="s">
        <v>792</v>
      </c>
      <c r="BE361" s="256" t="s">
        <v>792</v>
      </c>
      <c r="BF361" s="256" t="s">
        <v>792</v>
      </c>
    </row>
    <row r="362" spans="1:58" x14ac:dyDescent="0.3">
      <c r="A362" s="258" t="s">
        <v>1070</v>
      </c>
      <c r="B362" s="259">
        <v>0</v>
      </c>
      <c r="C362" s="259">
        <v>0</v>
      </c>
      <c r="D362" s="259">
        <v>0</v>
      </c>
      <c r="E362" s="259">
        <v>0</v>
      </c>
      <c r="F362" s="264" t="s">
        <v>792</v>
      </c>
      <c r="G362" s="264" t="s">
        <v>792</v>
      </c>
      <c r="H362" s="264" t="s">
        <v>792</v>
      </c>
      <c r="I362" s="264" t="s">
        <v>792</v>
      </c>
      <c r="J362" s="264" t="s">
        <v>792</v>
      </c>
      <c r="K362" s="264" t="s">
        <v>792</v>
      </c>
      <c r="L362" s="264" t="s">
        <v>792</v>
      </c>
      <c r="M362" s="264" t="s">
        <v>792</v>
      </c>
      <c r="N362" s="264" t="s">
        <v>792</v>
      </c>
      <c r="O362" s="264" t="s">
        <v>792</v>
      </c>
      <c r="P362" s="264" t="s">
        <v>792</v>
      </c>
      <c r="Q362" s="264" t="s">
        <v>792</v>
      </c>
      <c r="R362" s="264" t="s">
        <v>792</v>
      </c>
      <c r="S362" s="264" t="s">
        <v>792</v>
      </c>
      <c r="T362" s="264" t="s">
        <v>792</v>
      </c>
      <c r="U362" s="264" t="s">
        <v>792</v>
      </c>
      <c r="V362" s="264" t="s">
        <v>792</v>
      </c>
      <c r="W362" s="264" t="s">
        <v>792</v>
      </c>
      <c r="X362" s="264" t="s">
        <v>792</v>
      </c>
      <c r="Y362" s="264" t="s">
        <v>792</v>
      </c>
      <c r="Z362" s="264" t="s">
        <v>792</v>
      </c>
      <c r="AA362" s="264" t="s">
        <v>792</v>
      </c>
      <c r="AB362" s="264" t="s">
        <v>792</v>
      </c>
      <c r="AC362" s="264" t="s">
        <v>792</v>
      </c>
      <c r="AD362" s="264" t="s">
        <v>792</v>
      </c>
      <c r="AE362" s="264" t="s">
        <v>792</v>
      </c>
      <c r="AF362" s="264" t="s">
        <v>792</v>
      </c>
      <c r="AG362" s="264" t="s">
        <v>792</v>
      </c>
      <c r="AH362" s="264" t="s">
        <v>792</v>
      </c>
      <c r="AI362" s="264" t="s">
        <v>792</v>
      </c>
      <c r="AJ362" s="264" t="s">
        <v>792</v>
      </c>
      <c r="AK362" s="264" t="s">
        <v>792</v>
      </c>
      <c r="AL362" s="264" t="s">
        <v>792</v>
      </c>
      <c r="AM362" s="264" t="s">
        <v>792</v>
      </c>
      <c r="AN362" s="264" t="s">
        <v>792</v>
      </c>
      <c r="AO362" s="264" t="s">
        <v>792</v>
      </c>
      <c r="AP362" s="264" t="s">
        <v>792</v>
      </c>
      <c r="AQ362" s="264" t="s">
        <v>792</v>
      </c>
      <c r="AR362" s="264" t="s">
        <v>792</v>
      </c>
      <c r="AS362" s="264" t="s">
        <v>792</v>
      </c>
      <c r="AT362" s="264" t="s">
        <v>792</v>
      </c>
      <c r="AU362" s="264" t="s">
        <v>792</v>
      </c>
      <c r="AV362" s="264" t="s">
        <v>792</v>
      </c>
      <c r="AW362" s="264" t="s">
        <v>792</v>
      </c>
      <c r="AX362" s="264" t="s">
        <v>792</v>
      </c>
      <c r="AY362" s="264" t="s">
        <v>792</v>
      </c>
      <c r="AZ362" s="264" t="s">
        <v>792</v>
      </c>
      <c r="BA362" s="264" t="s">
        <v>792</v>
      </c>
      <c r="BB362" s="264" t="s">
        <v>792</v>
      </c>
      <c r="BC362" s="264" t="s">
        <v>792</v>
      </c>
      <c r="BD362" s="264" t="s">
        <v>792</v>
      </c>
      <c r="BE362" s="264" t="s">
        <v>792</v>
      </c>
      <c r="BF362" s="264" t="s">
        <v>792</v>
      </c>
    </row>
    <row r="363" spans="1:58" x14ac:dyDescent="0.3">
      <c r="A363" s="258" t="s">
        <v>1071</v>
      </c>
      <c r="B363" s="259">
        <v>0</v>
      </c>
      <c r="C363" s="259">
        <v>0</v>
      </c>
      <c r="D363" s="259">
        <v>0</v>
      </c>
      <c r="E363" s="259">
        <v>0</v>
      </c>
      <c r="F363" s="264" t="s">
        <v>792</v>
      </c>
      <c r="G363" s="264" t="s">
        <v>792</v>
      </c>
      <c r="H363" s="264" t="s">
        <v>792</v>
      </c>
      <c r="I363" s="264" t="s">
        <v>792</v>
      </c>
      <c r="J363" s="264" t="s">
        <v>792</v>
      </c>
      <c r="K363" s="264" t="s">
        <v>792</v>
      </c>
      <c r="L363" s="264" t="s">
        <v>792</v>
      </c>
      <c r="M363" s="264" t="s">
        <v>792</v>
      </c>
      <c r="N363" s="264" t="s">
        <v>792</v>
      </c>
      <c r="O363" s="264" t="s">
        <v>792</v>
      </c>
      <c r="P363" s="264" t="s">
        <v>792</v>
      </c>
      <c r="Q363" s="264" t="s">
        <v>792</v>
      </c>
      <c r="R363" s="264" t="s">
        <v>792</v>
      </c>
      <c r="S363" s="264" t="s">
        <v>792</v>
      </c>
      <c r="T363" s="264" t="s">
        <v>792</v>
      </c>
      <c r="U363" s="264" t="s">
        <v>792</v>
      </c>
      <c r="V363" s="264" t="s">
        <v>792</v>
      </c>
      <c r="W363" s="264" t="s">
        <v>792</v>
      </c>
      <c r="X363" s="264" t="s">
        <v>792</v>
      </c>
      <c r="Y363" s="264" t="s">
        <v>792</v>
      </c>
      <c r="Z363" s="264" t="s">
        <v>792</v>
      </c>
      <c r="AA363" s="264" t="s">
        <v>792</v>
      </c>
      <c r="AB363" s="264" t="s">
        <v>792</v>
      </c>
      <c r="AC363" s="264" t="s">
        <v>792</v>
      </c>
      <c r="AD363" s="264" t="s">
        <v>792</v>
      </c>
      <c r="AE363" s="264" t="s">
        <v>792</v>
      </c>
      <c r="AF363" s="264" t="s">
        <v>792</v>
      </c>
      <c r="AG363" s="264" t="s">
        <v>792</v>
      </c>
      <c r="AH363" s="264" t="s">
        <v>792</v>
      </c>
      <c r="AI363" s="264" t="s">
        <v>792</v>
      </c>
      <c r="AJ363" s="264" t="s">
        <v>792</v>
      </c>
      <c r="AK363" s="264" t="s">
        <v>792</v>
      </c>
      <c r="AL363" s="264" t="s">
        <v>792</v>
      </c>
      <c r="AM363" s="264" t="s">
        <v>792</v>
      </c>
      <c r="AN363" s="264" t="s">
        <v>792</v>
      </c>
      <c r="AO363" s="264" t="s">
        <v>792</v>
      </c>
      <c r="AP363" s="264" t="s">
        <v>792</v>
      </c>
      <c r="AQ363" s="264" t="s">
        <v>792</v>
      </c>
      <c r="AR363" s="264" t="s">
        <v>792</v>
      </c>
      <c r="AS363" s="264" t="s">
        <v>792</v>
      </c>
      <c r="AT363" s="264" t="s">
        <v>792</v>
      </c>
      <c r="AU363" s="264" t="s">
        <v>792</v>
      </c>
      <c r="AV363" s="264" t="s">
        <v>792</v>
      </c>
      <c r="AW363" s="264" t="s">
        <v>792</v>
      </c>
      <c r="AX363" s="264" t="s">
        <v>792</v>
      </c>
      <c r="AY363" s="264" t="s">
        <v>792</v>
      </c>
      <c r="AZ363" s="264" t="s">
        <v>792</v>
      </c>
      <c r="BA363" s="264" t="s">
        <v>792</v>
      </c>
      <c r="BB363" s="264" t="s">
        <v>792</v>
      </c>
      <c r="BC363" s="264" t="s">
        <v>792</v>
      </c>
      <c r="BD363" s="264" t="s">
        <v>792</v>
      </c>
      <c r="BE363" s="264" t="s">
        <v>792</v>
      </c>
      <c r="BF363" s="264" t="s">
        <v>792</v>
      </c>
    </row>
    <row r="364" spans="1:58" x14ac:dyDescent="0.3">
      <c r="A364" s="255" t="s">
        <v>971</v>
      </c>
      <c r="B364" s="257">
        <v>-11310</v>
      </c>
      <c r="C364" s="257">
        <v>-18809</v>
      </c>
      <c r="D364" s="257">
        <v>-36985</v>
      </c>
      <c r="E364" s="257">
        <v>-66968</v>
      </c>
      <c r="F364" s="257">
        <v>-138985</v>
      </c>
      <c r="G364" s="257">
        <v>-6608</v>
      </c>
      <c r="H364" s="257">
        <v>-54516</v>
      </c>
      <c r="I364" s="257">
        <v>-151923</v>
      </c>
      <c r="J364" s="257">
        <v>-280819</v>
      </c>
      <c r="K364" s="257">
        <v>-105715</v>
      </c>
      <c r="L364" s="257">
        <v>11716</v>
      </c>
      <c r="M364" s="257">
        <v>-127234</v>
      </c>
      <c r="N364" s="257">
        <v>-277566</v>
      </c>
      <c r="O364" s="257">
        <v>-99181</v>
      </c>
      <c r="P364" s="257">
        <v>-644183</v>
      </c>
      <c r="Q364" s="257">
        <v>-1459542</v>
      </c>
      <c r="R364" s="257">
        <v>-2561162</v>
      </c>
      <c r="S364" s="257">
        <v>3244</v>
      </c>
      <c r="T364" s="257">
        <v>12485</v>
      </c>
      <c r="U364" s="257">
        <v>30396</v>
      </c>
      <c r="V364" s="257">
        <v>-1052003</v>
      </c>
      <c r="W364" s="257">
        <v>-54002</v>
      </c>
      <c r="X364" s="257">
        <v>-72395</v>
      </c>
      <c r="Y364" s="257">
        <v>-75064</v>
      </c>
      <c r="Z364" s="257">
        <v>104894</v>
      </c>
      <c r="AA364" s="257">
        <v>-65027</v>
      </c>
      <c r="AB364" s="257">
        <v>-116385</v>
      </c>
      <c r="AC364" s="257">
        <v>-22497</v>
      </c>
      <c r="AD364" s="257">
        <v>252951</v>
      </c>
      <c r="AE364" s="257">
        <v>9323</v>
      </c>
      <c r="AF364" s="257">
        <v>58699</v>
      </c>
      <c r="AG364" s="257">
        <v>72417</v>
      </c>
      <c r="AH364" s="257">
        <v>28434</v>
      </c>
      <c r="AI364" s="257">
        <v>2378</v>
      </c>
      <c r="AJ364" s="257">
        <v>73264</v>
      </c>
      <c r="AK364" s="257">
        <v>170476</v>
      </c>
      <c r="AL364" s="257">
        <v>241377</v>
      </c>
      <c r="AM364" s="257">
        <v>-48917</v>
      </c>
      <c r="AN364" s="257">
        <v>82305</v>
      </c>
      <c r="AO364" s="257">
        <v>-88884</v>
      </c>
      <c r="AP364" s="257">
        <v>541002</v>
      </c>
      <c r="AQ364" s="257">
        <v>-52571</v>
      </c>
      <c r="AR364" s="257">
        <v>-175325</v>
      </c>
      <c r="AS364" s="257">
        <v>-249483</v>
      </c>
      <c r="AT364" s="257">
        <v>484080</v>
      </c>
      <c r="AU364" s="257">
        <v>-45275</v>
      </c>
      <c r="AV364" s="257">
        <v>516566</v>
      </c>
      <c r="AW364" s="257">
        <v>683987</v>
      </c>
      <c r="AX364" s="257">
        <v>1499121</v>
      </c>
      <c r="AY364" s="257">
        <v>905243</v>
      </c>
      <c r="AZ364" s="257">
        <v>1735988</v>
      </c>
      <c r="BA364" s="257">
        <v>2982382</v>
      </c>
      <c r="BB364" s="257">
        <v>3661820</v>
      </c>
      <c r="BC364" s="257">
        <v>1255553</v>
      </c>
      <c r="BD364" s="257">
        <v>2095688</v>
      </c>
      <c r="BE364" s="257">
        <v>4215915</v>
      </c>
      <c r="BF364" s="257">
        <v>6104672</v>
      </c>
    </row>
    <row r="365" spans="1:58" x14ac:dyDescent="0.3">
      <c r="A365" s="255" t="s">
        <v>1072</v>
      </c>
      <c r="B365" s="257">
        <v>0</v>
      </c>
      <c r="C365" s="257">
        <v>530</v>
      </c>
      <c r="D365" s="257">
        <v>1629</v>
      </c>
      <c r="E365" s="257">
        <v>2684</v>
      </c>
      <c r="F365" s="257">
        <v>3385</v>
      </c>
      <c r="G365" s="257">
        <v>10351</v>
      </c>
      <c r="H365" s="257">
        <v>17854</v>
      </c>
      <c r="I365" s="257">
        <v>23465</v>
      </c>
      <c r="J365" s="257">
        <v>31959</v>
      </c>
      <c r="K365" s="257">
        <v>39313</v>
      </c>
      <c r="L365" s="256" t="s">
        <v>792</v>
      </c>
      <c r="M365" s="257">
        <v>14694</v>
      </c>
      <c r="N365" s="257">
        <v>0</v>
      </c>
      <c r="O365" s="257">
        <v>0</v>
      </c>
      <c r="P365" s="257">
        <v>1514</v>
      </c>
      <c r="Q365" s="257">
        <v>0</v>
      </c>
      <c r="R365" s="257">
        <v>3972</v>
      </c>
      <c r="S365" s="257">
        <v>1545</v>
      </c>
      <c r="T365" s="257">
        <v>1503</v>
      </c>
      <c r="U365" s="257">
        <v>5107</v>
      </c>
      <c r="V365" s="257">
        <v>13287</v>
      </c>
      <c r="W365" s="257">
        <v>882</v>
      </c>
      <c r="X365" s="257">
        <v>16</v>
      </c>
      <c r="Y365" s="257">
        <v>22</v>
      </c>
      <c r="Z365" s="257">
        <v>-124</v>
      </c>
      <c r="AA365" s="257">
        <v>0</v>
      </c>
      <c r="AB365" s="257">
        <v>0</v>
      </c>
      <c r="AC365" s="257">
        <v>0</v>
      </c>
      <c r="AD365" s="257">
        <v>4639</v>
      </c>
      <c r="AE365" s="257">
        <v>650</v>
      </c>
      <c r="AF365" s="257">
        <v>4051</v>
      </c>
      <c r="AG365" s="257">
        <v>1982</v>
      </c>
      <c r="AH365" s="257">
        <v>2545</v>
      </c>
      <c r="AI365" s="257">
        <v>8975</v>
      </c>
      <c r="AJ365" s="257">
        <v>10849</v>
      </c>
      <c r="AK365" s="257">
        <v>36482</v>
      </c>
      <c r="AL365" s="257">
        <v>42969</v>
      </c>
      <c r="AM365" s="257">
        <v>5398</v>
      </c>
      <c r="AN365" s="257">
        <v>42105</v>
      </c>
      <c r="AO365" s="257">
        <v>42680</v>
      </c>
      <c r="AP365" s="257">
        <v>55658</v>
      </c>
      <c r="AQ365" s="257">
        <v>12142</v>
      </c>
      <c r="AR365" s="257">
        <v>14775</v>
      </c>
      <c r="AS365" s="257">
        <v>24534</v>
      </c>
      <c r="AT365" s="257">
        <v>77140</v>
      </c>
      <c r="AU365" s="257">
        <v>79573</v>
      </c>
      <c r="AV365" s="257">
        <v>139537</v>
      </c>
      <c r="AW365" s="257">
        <v>234090</v>
      </c>
      <c r="AX365" s="257">
        <v>344812</v>
      </c>
      <c r="AY365" s="257">
        <v>115251</v>
      </c>
      <c r="AZ365" s="257">
        <v>313233</v>
      </c>
      <c r="BA365" s="257">
        <v>568781</v>
      </c>
      <c r="BB365" s="257">
        <v>545460</v>
      </c>
      <c r="BC365" s="257">
        <v>124073</v>
      </c>
      <c r="BD365" s="257">
        <v>233000</v>
      </c>
      <c r="BE365" s="257">
        <v>420700</v>
      </c>
      <c r="BF365" s="257">
        <v>683641</v>
      </c>
    </row>
    <row r="366" spans="1:58" x14ac:dyDescent="0.3">
      <c r="A366" s="255" t="s">
        <v>1073</v>
      </c>
      <c r="B366" s="257">
        <v>1325</v>
      </c>
      <c r="C366" s="257">
        <v>0</v>
      </c>
      <c r="D366" s="257">
        <v>0</v>
      </c>
      <c r="E366" s="257">
        <v>0</v>
      </c>
      <c r="F366" s="257">
        <v>0</v>
      </c>
      <c r="G366" s="257">
        <v>-3107</v>
      </c>
      <c r="H366" s="257">
        <v>-5349</v>
      </c>
      <c r="I366" s="257">
        <v>-7041</v>
      </c>
      <c r="J366" s="257">
        <v>-8743</v>
      </c>
      <c r="K366" s="257">
        <v>-11798</v>
      </c>
      <c r="L366" s="256" t="s">
        <v>792</v>
      </c>
      <c r="M366" s="257">
        <v>-4409</v>
      </c>
      <c r="N366" s="257">
        <v>0</v>
      </c>
      <c r="O366" s="257">
        <v>0</v>
      </c>
      <c r="P366" s="257">
        <v>-458</v>
      </c>
      <c r="Q366" s="257">
        <v>-90059</v>
      </c>
      <c r="R366" s="257">
        <v>-327264</v>
      </c>
      <c r="S366" s="257">
        <v>0</v>
      </c>
      <c r="T366" s="257">
        <v>-460</v>
      </c>
      <c r="U366" s="257">
        <v>0</v>
      </c>
      <c r="V366" s="257">
        <v>-66528</v>
      </c>
      <c r="W366" s="257">
        <v>-1345</v>
      </c>
      <c r="X366" s="257">
        <v>-2637</v>
      </c>
      <c r="Y366" s="257">
        <v>-5333</v>
      </c>
      <c r="Z366" s="257">
        <v>-5403</v>
      </c>
      <c r="AA366" s="257">
        <v>360</v>
      </c>
      <c r="AB366" s="257">
        <v>24</v>
      </c>
      <c r="AC366" s="257">
        <v>22441</v>
      </c>
      <c r="AD366" s="257">
        <v>6690</v>
      </c>
      <c r="AE366" s="257">
        <v>4654</v>
      </c>
      <c r="AF366" s="257">
        <v>3523</v>
      </c>
      <c r="AG366" s="257">
        <v>2928</v>
      </c>
      <c r="AH366" s="257">
        <v>-4738</v>
      </c>
      <c r="AI366" s="257">
        <v>-9291</v>
      </c>
      <c r="AJ366" s="257">
        <v>-10839</v>
      </c>
      <c r="AK366" s="257">
        <v>-10718</v>
      </c>
      <c r="AL366" s="257">
        <v>-6467</v>
      </c>
      <c r="AM366" s="257">
        <v>-637</v>
      </c>
      <c r="AN366" s="257">
        <v>-1658</v>
      </c>
      <c r="AO366" s="257">
        <v>-179360</v>
      </c>
      <c r="AP366" s="257">
        <v>-357002</v>
      </c>
      <c r="AQ366" s="257">
        <v>-3252</v>
      </c>
      <c r="AR366" s="257">
        <v>-28837</v>
      </c>
      <c r="AS366" s="257">
        <v>-2156</v>
      </c>
      <c r="AT366" s="257">
        <v>-45973</v>
      </c>
      <c r="AU366" s="257">
        <v>-59056</v>
      </c>
      <c r="AV366" s="257">
        <v>21919</v>
      </c>
      <c r="AW366" s="257">
        <v>-2317</v>
      </c>
      <c r="AX366" s="257">
        <v>-178737</v>
      </c>
      <c r="AY366" s="257">
        <v>-278978</v>
      </c>
      <c r="AZ366" s="257">
        <v>-285295</v>
      </c>
      <c r="BA366" s="257">
        <v>-86763</v>
      </c>
      <c r="BB366" s="257">
        <v>-310712</v>
      </c>
      <c r="BC366" s="257">
        <v>-30585</v>
      </c>
      <c r="BD366" s="257">
        <v>-140346</v>
      </c>
      <c r="BE366" s="257">
        <v>163357</v>
      </c>
      <c r="BF366" s="257">
        <v>241126</v>
      </c>
    </row>
    <row r="367" spans="1:58" x14ac:dyDescent="0.3">
      <c r="A367" s="255" t="s">
        <v>1074</v>
      </c>
      <c r="B367" s="257">
        <v>0</v>
      </c>
      <c r="C367" s="257">
        <v>0</v>
      </c>
      <c r="D367" s="257">
        <v>0</v>
      </c>
      <c r="E367" s="257">
        <v>0</v>
      </c>
      <c r="F367" s="256" t="s">
        <v>792</v>
      </c>
      <c r="G367" s="256" t="s">
        <v>792</v>
      </c>
      <c r="H367" s="256" t="s">
        <v>792</v>
      </c>
      <c r="I367" s="256" t="s">
        <v>792</v>
      </c>
      <c r="J367" s="256" t="s">
        <v>792</v>
      </c>
      <c r="K367" s="256" t="s">
        <v>792</v>
      </c>
      <c r="L367" s="256" t="s">
        <v>792</v>
      </c>
      <c r="M367" s="256" t="s">
        <v>792</v>
      </c>
      <c r="N367" s="256" t="s">
        <v>792</v>
      </c>
      <c r="O367" s="256" t="s">
        <v>792</v>
      </c>
      <c r="P367" s="256" t="s">
        <v>792</v>
      </c>
      <c r="Q367" s="256" t="s">
        <v>792</v>
      </c>
      <c r="R367" s="256" t="s">
        <v>792</v>
      </c>
      <c r="S367" s="256" t="s">
        <v>792</v>
      </c>
      <c r="T367" s="256" t="s">
        <v>792</v>
      </c>
      <c r="U367" s="256" t="s">
        <v>792</v>
      </c>
      <c r="V367" s="256" t="s">
        <v>792</v>
      </c>
      <c r="W367" s="256" t="s">
        <v>792</v>
      </c>
      <c r="X367" s="256" t="s">
        <v>792</v>
      </c>
      <c r="Y367" s="256" t="s">
        <v>792</v>
      </c>
      <c r="Z367" s="256" t="s">
        <v>792</v>
      </c>
      <c r="AA367" s="256" t="s">
        <v>792</v>
      </c>
      <c r="AB367" s="256" t="s">
        <v>792</v>
      </c>
      <c r="AC367" s="256" t="s">
        <v>792</v>
      </c>
      <c r="AD367" s="256" t="s">
        <v>792</v>
      </c>
      <c r="AE367" s="256" t="s">
        <v>792</v>
      </c>
      <c r="AF367" s="256" t="s">
        <v>792</v>
      </c>
      <c r="AG367" s="256" t="s">
        <v>792</v>
      </c>
      <c r="AH367" s="256" t="s">
        <v>792</v>
      </c>
      <c r="AI367" s="256" t="s">
        <v>792</v>
      </c>
      <c r="AJ367" s="256" t="s">
        <v>792</v>
      </c>
      <c r="AK367" s="256" t="s">
        <v>792</v>
      </c>
      <c r="AL367" s="256" t="s">
        <v>792</v>
      </c>
      <c r="AM367" s="256" t="s">
        <v>792</v>
      </c>
      <c r="AN367" s="256" t="s">
        <v>792</v>
      </c>
      <c r="AO367" s="256" t="s">
        <v>792</v>
      </c>
      <c r="AP367" s="256" t="s">
        <v>792</v>
      </c>
      <c r="AQ367" s="256" t="s">
        <v>792</v>
      </c>
      <c r="AR367" s="256" t="s">
        <v>792</v>
      </c>
      <c r="AS367" s="256" t="s">
        <v>792</v>
      </c>
      <c r="AT367" s="256" t="s">
        <v>792</v>
      </c>
      <c r="AU367" s="256" t="s">
        <v>792</v>
      </c>
      <c r="AV367" s="256" t="s">
        <v>792</v>
      </c>
      <c r="AW367" s="256" t="s">
        <v>792</v>
      </c>
      <c r="AX367" s="256" t="s">
        <v>792</v>
      </c>
      <c r="AY367" s="256" t="s">
        <v>792</v>
      </c>
      <c r="AZ367" s="256" t="s">
        <v>792</v>
      </c>
      <c r="BA367" s="256" t="s">
        <v>792</v>
      </c>
      <c r="BB367" s="256" t="s">
        <v>792</v>
      </c>
      <c r="BC367" s="256" t="s">
        <v>792</v>
      </c>
      <c r="BD367" s="256" t="s">
        <v>792</v>
      </c>
      <c r="BE367" s="256" t="s">
        <v>792</v>
      </c>
      <c r="BF367" s="256" t="s">
        <v>792</v>
      </c>
    </row>
    <row r="368" spans="1:58" x14ac:dyDescent="0.3">
      <c r="A368" s="258" t="s">
        <v>1075</v>
      </c>
      <c r="B368" s="259">
        <v>0</v>
      </c>
      <c r="C368" s="259">
        <v>0</v>
      </c>
      <c r="D368" s="259">
        <v>0</v>
      </c>
      <c r="E368" s="259">
        <v>0</v>
      </c>
      <c r="F368" s="264" t="s">
        <v>792</v>
      </c>
      <c r="G368" s="264" t="s">
        <v>792</v>
      </c>
      <c r="H368" s="264" t="s">
        <v>792</v>
      </c>
      <c r="I368" s="264" t="s">
        <v>792</v>
      </c>
      <c r="J368" s="264" t="s">
        <v>792</v>
      </c>
      <c r="K368" s="264" t="s">
        <v>792</v>
      </c>
      <c r="L368" s="264" t="s">
        <v>792</v>
      </c>
      <c r="M368" s="264" t="s">
        <v>792</v>
      </c>
      <c r="N368" s="264" t="s">
        <v>792</v>
      </c>
      <c r="O368" s="264" t="s">
        <v>792</v>
      </c>
      <c r="P368" s="264" t="s">
        <v>792</v>
      </c>
      <c r="Q368" s="264" t="s">
        <v>792</v>
      </c>
      <c r="R368" s="264" t="s">
        <v>792</v>
      </c>
      <c r="S368" s="264" t="s">
        <v>792</v>
      </c>
      <c r="T368" s="264" t="s">
        <v>792</v>
      </c>
      <c r="U368" s="264" t="s">
        <v>792</v>
      </c>
      <c r="V368" s="264" t="s">
        <v>792</v>
      </c>
      <c r="W368" s="264" t="s">
        <v>792</v>
      </c>
      <c r="X368" s="264" t="s">
        <v>792</v>
      </c>
      <c r="Y368" s="264" t="s">
        <v>792</v>
      </c>
      <c r="Z368" s="264" t="s">
        <v>792</v>
      </c>
      <c r="AA368" s="264" t="s">
        <v>792</v>
      </c>
      <c r="AB368" s="264" t="s">
        <v>792</v>
      </c>
      <c r="AC368" s="264" t="s">
        <v>792</v>
      </c>
      <c r="AD368" s="264" t="s">
        <v>792</v>
      </c>
      <c r="AE368" s="264" t="s">
        <v>792</v>
      </c>
      <c r="AF368" s="264" t="s">
        <v>792</v>
      </c>
      <c r="AG368" s="264" t="s">
        <v>792</v>
      </c>
      <c r="AH368" s="264" t="s">
        <v>792</v>
      </c>
      <c r="AI368" s="264" t="s">
        <v>792</v>
      </c>
      <c r="AJ368" s="264" t="s">
        <v>792</v>
      </c>
      <c r="AK368" s="264" t="s">
        <v>792</v>
      </c>
      <c r="AL368" s="264" t="s">
        <v>792</v>
      </c>
      <c r="AM368" s="264" t="s">
        <v>792</v>
      </c>
      <c r="AN368" s="264" t="s">
        <v>792</v>
      </c>
      <c r="AO368" s="264" t="s">
        <v>792</v>
      </c>
      <c r="AP368" s="264" t="s">
        <v>792</v>
      </c>
      <c r="AQ368" s="264" t="s">
        <v>792</v>
      </c>
      <c r="AR368" s="264" t="s">
        <v>792</v>
      </c>
      <c r="AS368" s="264" t="s">
        <v>792</v>
      </c>
      <c r="AT368" s="264" t="s">
        <v>792</v>
      </c>
      <c r="AU368" s="264" t="s">
        <v>792</v>
      </c>
      <c r="AV368" s="264" t="s">
        <v>792</v>
      </c>
      <c r="AW368" s="264" t="s">
        <v>792</v>
      </c>
      <c r="AX368" s="264" t="s">
        <v>792</v>
      </c>
      <c r="AY368" s="264" t="s">
        <v>792</v>
      </c>
      <c r="AZ368" s="264" t="s">
        <v>792</v>
      </c>
      <c r="BA368" s="264" t="s">
        <v>792</v>
      </c>
      <c r="BB368" s="264" t="s">
        <v>792</v>
      </c>
      <c r="BC368" s="264" t="s">
        <v>792</v>
      </c>
      <c r="BD368" s="264" t="s">
        <v>792</v>
      </c>
      <c r="BE368" s="264" t="s">
        <v>792</v>
      </c>
      <c r="BF368" s="264" t="s">
        <v>792</v>
      </c>
    </row>
    <row r="369" spans="1:58" x14ac:dyDescent="0.3">
      <c r="A369" s="258" t="s">
        <v>1076</v>
      </c>
      <c r="B369" s="259">
        <v>0</v>
      </c>
      <c r="C369" s="259">
        <v>0</v>
      </c>
      <c r="D369" s="259">
        <v>0</v>
      </c>
      <c r="E369" s="259">
        <v>0</v>
      </c>
      <c r="F369" s="264" t="s">
        <v>792</v>
      </c>
      <c r="G369" s="264" t="s">
        <v>792</v>
      </c>
      <c r="H369" s="264" t="s">
        <v>792</v>
      </c>
      <c r="I369" s="264" t="s">
        <v>792</v>
      </c>
      <c r="J369" s="264" t="s">
        <v>792</v>
      </c>
      <c r="K369" s="264" t="s">
        <v>792</v>
      </c>
      <c r="L369" s="264" t="s">
        <v>792</v>
      </c>
      <c r="M369" s="264" t="s">
        <v>792</v>
      </c>
      <c r="N369" s="264" t="s">
        <v>792</v>
      </c>
      <c r="O369" s="264" t="s">
        <v>792</v>
      </c>
      <c r="P369" s="264" t="s">
        <v>792</v>
      </c>
      <c r="Q369" s="264" t="s">
        <v>792</v>
      </c>
      <c r="R369" s="264" t="s">
        <v>792</v>
      </c>
      <c r="S369" s="264" t="s">
        <v>792</v>
      </c>
      <c r="T369" s="264" t="s">
        <v>792</v>
      </c>
      <c r="U369" s="264" t="s">
        <v>792</v>
      </c>
      <c r="V369" s="264" t="s">
        <v>792</v>
      </c>
      <c r="W369" s="264" t="s">
        <v>792</v>
      </c>
      <c r="X369" s="264" t="s">
        <v>792</v>
      </c>
      <c r="Y369" s="264" t="s">
        <v>792</v>
      </c>
      <c r="Z369" s="264" t="s">
        <v>792</v>
      </c>
      <c r="AA369" s="264" t="s">
        <v>792</v>
      </c>
      <c r="AB369" s="264" t="s">
        <v>792</v>
      </c>
      <c r="AC369" s="264" t="s">
        <v>792</v>
      </c>
      <c r="AD369" s="264" t="s">
        <v>792</v>
      </c>
      <c r="AE369" s="264" t="s">
        <v>792</v>
      </c>
      <c r="AF369" s="264" t="s">
        <v>792</v>
      </c>
      <c r="AG369" s="264" t="s">
        <v>792</v>
      </c>
      <c r="AH369" s="264" t="s">
        <v>792</v>
      </c>
      <c r="AI369" s="264" t="s">
        <v>792</v>
      </c>
      <c r="AJ369" s="264" t="s">
        <v>792</v>
      </c>
      <c r="AK369" s="264" t="s">
        <v>792</v>
      </c>
      <c r="AL369" s="264" t="s">
        <v>792</v>
      </c>
      <c r="AM369" s="264" t="s">
        <v>792</v>
      </c>
      <c r="AN369" s="264" t="s">
        <v>792</v>
      </c>
      <c r="AO369" s="264" t="s">
        <v>792</v>
      </c>
      <c r="AP369" s="264" t="s">
        <v>792</v>
      </c>
      <c r="AQ369" s="264" t="s">
        <v>792</v>
      </c>
      <c r="AR369" s="264" t="s">
        <v>792</v>
      </c>
      <c r="AS369" s="264" t="s">
        <v>792</v>
      </c>
      <c r="AT369" s="264" t="s">
        <v>792</v>
      </c>
      <c r="AU369" s="264" t="s">
        <v>792</v>
      </c>
      <c r="AV369" s="264" t="s">
        <v>792</v>
      </c>
      <c r="AW369" s="264" t="s">
        <v>792</v>
      </c>
      <c r="AX369" s="264" t="s">
        <v>792</v>
      </c>
      <c r="AY369" s="264" t="s">
        <v>792</v>
      </c>
      <c r="AZ369" s="264" t="s">
        <v>792</v>
      </c>
      <c r="BA369" s="264" t="s">
        <v>792</v>
      </c>
      <c r="BB369" s="264" t="s">
        <v>792</v>
      </c>
      <c r="BC369" s="264" t="s">
        <v>792</v>
      </c>
      <c r="BD369" s="264" t="s">
        <v>792</v>
      </c>
      <c r="BE369" s="264" t="s">
        <v>792</v>
      </c>
      <c r="BF369" s="264" t="s">
        <v>792</v>
      </c>
    </row>
    <row r="370" spans="1:58" x14ac:dyDescent="0.3">
      <c r="A370" s="255" t="s">
        <v>1077</v>
      </c>
      <c r="B370" s="257">
        <v>0</v>
      </c>
      <c r="C370" s="257">
        <v>0</v>
      </c>
      <c r="D370" s="257">
        <v>0</v>
      </c>
      <c r="E370" s="257">
        <v>0</v>
      </c>
      <c r="F370" s="256" t="s">
        <v>792</v>
      </c>
      <c r="G370" s="256" t="s">
        <v>792</v>
      </c>
      <c r="H370" s="256" t="s">
        <v>792</v>
      </c>
      <c r="I370" s="256" t="s">
        <v>792</v>
      </c>
      <c r="J370" s="256" t="s">
        <v>792</v>
      </c>
      <c r="K370" s="256" t="s">
        <v>792</v>
      </c>
      <c r="L370" s="256" t="s">
        <v>792</v>
      </c>
      <c r="M370" s="256" t="s">
        <v>792</v>
      </c>
      <c r="N370" s="256" t="s">
        <v>792</v>
      </c>
      <c r="O370" s="256" t="s">
        <v>792</v>
      </c>
      <c r="P370" s="256" t="s">
        <v>792</v>
      </c>
      <c r="Q370" s="256" t="s">
        <v>792</v>
      </c>
      <c r="R370" s="256" t="s">
        <v>792</v>
      </c>
      <c r="S370" s="256" t="s">
        <v>792</v>
      </c>
      <c r="T370" s="256" t="s">
        <v>792</v>
      </c>
      <c r="U370" s="256" t="s">
        <v>792</v>
      </c>
      <c r="V370" s="256" t="s">
        <v>792</v>
      </c>
      <c r="W370" s="256" t="s">
        <v>792</v>
      </c>
      <c r="X370" s="256" t="s">
        <v>792</v>
      </c>
      <c r="Y370" s="256" t="s">
        <v>792</v>
      </c>
      <c r="Z370" s="256" t="s">
        <v>792</v>
      </c>
      <c r="AA370" s="256" t="s">
        <v>792</v>
      </c>
      <c r="AB370" s="256" t="s">
        <v>792</v>
      </c>
      <c r="AC370" s="256" t="s">
        <v>792</v>
      </c>
      <c r="AD370" s="256" t="s">
        <v>792</v>
      </c>
      <c r="AE370" s="256" t="s">
        <v>792</v>
      </c>
      <c r="AF370" s="256" t="s">
        <v>792</v>
      </c>
      <c r="AG370" s="256" t="s">
        <v>792</v>
      </c>
      <c r="AH370" s="256" t="s">
        <v>792</v>
      </c>
      <c r="AI370" s="256" t="s">
        <v>792</v>
      </c>
      <c r="AJ370" s="256" t="s">
        <v>792</v>
      </c>
      <c r="AK370" s="256" t="s">
        <v>792</v>
      </c>
      <c r="AL370" s="256" t="s">
        <v>792</v>
      </c>
      <c r="AM370" s="256" t="s">
        <v>792</v>
      </c>
      <c r="AN370" s="256" t="s">
        <v>792</v>
      </c>
      <c r="AO370" s="256" t="s">
        <v>792</v>
      </c>
      <c r="AP370" s="256" t="s">
        <v>792</v>
      </c>
      <c r="AQ370" s="256" t="s">
        <v>792</v>
      </c>
      <c r="AR370" s="256" t="s">
        <v>792</v>
      </c>
      <c r="AS370" s="256" t="s">
        <v>792</v>
      </c>
      <c r="AT370" s="256" t="s">
        <v>792</v>
      </c>
      <c r="AU370" s="256" t="s">
        <v>792</v>
      </c>
      <c r="AV370" s="256" t="s">
        <v>792</v>
      </c>
      <c r="AW370" s="256" t="s">
        <v>792</v>
      </c>
      <c r="AX370" s="256" t="s">
        <v>792</v>
      </c>
      <c r="AY370" s="256" t="s">
        <v>792</v>
      </c>
      <c r="AZ370" s="256" t="s">
        <v>792</v>
      </c>
      <c r="BA370" s="256" t="s">
        <v>792</v>
      </c>
      <c r="BB370" s="256" t="s">
        <v>792</v>
      </c>
      <c r="BC370" s="256" t="s">
        <v>792</v>
      </c>
      <c r="BD370" s="256" t="s">
        <v>792</v>
      </c>
      <c r="BE370" s="256" t="s">
        <v>792</v>
      </c>
      <c r="BF370" s="256" t="s">
        <v>792</v>
      </c>
    </row>
    <row r="371" spans="1:58" x14ac:dyDescent="0.3">
      <c r="A371" s="255" t="s">
        <v>980</v>
      </c>
      <c r="B371" s="257">
        <v>0</v>
      </c>
      <c r="C371" s="257">
        <v>0</v>
      </c>
      <c r="D371" s="257">
        <v>-54</v>
      </c>
      <c r="E371" s="257">
        <v>-56</v>
      </c>
      <c r="F371" s="257">
        <v>0</v>
      </c>
      <c r="G371" s="257">
        <v>0</v>
      </c>
      <c r="H371" s="257">
        <v>0</v>
      </c>
      <c r="I371" s="257">
        <v>0</v>
      </c>
      <c r="J371" s="257">
        <v>0</v>
      </c>
      <c r="K371" s="257">
        <v>0</v>
      </c>
      <c r="L371" s="257">
        <v>0</v>
      </c>
      <c r="M371" s="257">
        <v>0</v>
      </c>
      <c r="N371" s="257">
        <v>0</v>
      </c>
      <c r="O371" s="257">
        <v>0</v>
      </c>
      <c r="P371" s="257">
        <v>0</v>
      </c>
      <c r="Q371" s="257">
        <v>0</v>
      </c>
      <c r="R371" s="257">
        <v>0</v>
      </c>
      <c r="S371" s="257">
        <v>0</v>
      </c>
      <c r="T371" s="257">
        <v>0</v>
      </c>
      <c r="U371" s="257">
        <v>0</v>
      </c>
      <c r="V371" s="257">
        <v>0</v>
      </c>
      <c r="W371" s="257">
        <v>0</v>
      </c>
      <c r="X371" s="257">
        <v>0</v>
      </c>
      <c r="Y371" s="257">
        <v>-14</v>
      </c>
      <c r="Z371" s="257">
        <v>0</v>
      </c>
      <c r="AA371" s="257">
        <v>0</v>
      </c>
      <c r="AB371" s="257">
        <v>0</v>
      </c>
      <c r="AC371" s="257">
        <v>0</v>
      </c>
      <c r="AD371" s="257">
        <v>0</v>
      </c>
      <c r="AE371" s="257">
        <v>0</v>
      </c>
      <c r="AF371" s="257">
        <v>0</v>
      </c>
      <c r="AG371" s="257">
        <v>0</v>
      </c>
      <c r="AH371" s="257">
        <v>0</v>
      </c>
      <c r="AI371" s="257">
        <v>0</v>
      </c>
      <c r="AJ371" s="257">
        <v>0</v>
      </c>
      <c r="AK371" s="257">
        <v>0</v>
      </c>
      <c r="AL371" s="257">
        <v>0</v>
      </c>
      <c r="AM371" s="257">
        <v>0</v>
      </c>
      <c r="AN371" s="257">
        <v>0</v>
      </c>
      <c r="AO371" s="257">
        <v>0</v>
      </c>
      <c r="AP371" s="257">
        <v>0</v>
      </c>
      <c r="AQ371" s="257">
        <v>0</v>
      </c>
      <c r="AR371" s="257">
        <v>0</v>
      </c>
      <c r="AS371" s="257">
        <v>0</v>
      </c>
      <c r="AT371" s="257">
        <v>147</v>
      </c>
      <c r="AU371" s="257">
        <v>0</v>
      </c>
      <c r="AV371" s="257">
        <v>0</v>
      </c>
      <c r="AW371" s="257">
        <v>0</v>
      </c>
      <c r="AX371" s="257">
        <v>0</v>
      </c>
      <c r="AY371" s="257">
        <v>0</v>
      </c>
      <c r="AZ371" s="257">
        <v>0</v>
      </c>
      <c r="BA371" s="257">
        <v>0</v>
      </c>
      <c r="BB371" s="257">
        <v>0</v>
      </c>
      <c r="BC371" s="257">
        <v>0</v>
      </c>
      <c r="BD371" s="257">
        <v>0</v>
      </c>
      <c r="BE371" s="257">
        <v>0</v>
      </c>
      <c r="BF371" s="257">
        <v>0</v>
      </c>
    </row>
    <row r="372" spans="1:58" x14ac:dyDescent="0.3">
      <c r="A372" s="255" t="s">
        <v>981</v>
      </c>
      <c r="B372" s="257">
        <v>-12635</v>
      </c>
      <c r="C372" s="257">
        <v>-19339</v>
      </c>
      <c r="D372" s="257">
        <v>-38560</v>
      </c>
      <c r="E372" s="257">
        <v>-69596</v>
      </c>
      <c r="F372" s="257">
        <v>-142370</v>
      </c>
      <c r="G372" s="257">
        <v>-13852</v>
      </c>
      <c r="H372" s="257">
        <v>-67021</v>
      </c>
      <c r="I372" s="257">
        <v>-168347</v>
      </c>
      <c r="J372" s="257">
        <v>-304035</v>
      </c>
      <c r="K372" s="257">
        <v>53285</v>
      </c>
      <c r="L372" s="257">
        <v>2682</v>
      </c>
      <c r="M372" s="257">
        <v>-137519</v>
      </c>
      <c r="N372" s="257">
        <v>-277566</v>
      </c>
      <c r="O372" s="257">
        <v>-99181</v>
      </c>
      <c r="P372" s="257">
        <v>-645239</v>
      </c>
      <c r="Q372" s="257">
        <v>-1369483</v>
      </c>
      <c r="R372" s="257">
        <v>-2237870</v>
      </c>
      <c r="S372" s="257">
        <v>1699</v>
      </c>
      <c r="T372" s="257">
        <v>11442</v>
      </c>
      <c r="U372" s="257">
        <v>20978</v>
      </c>
      <c r="V372" s="257">
        <v>-1003073</v>
      </c>
      <c r="W372" s="257">
        <v>-53539</v>
      </c>
      <c r="X372" s="257">
        <v>-69774</v>
      </c>
      <c r="Y372" s="257">
        <v>-69739</v>
      </c>
      <c r="Z372" s="257">
        <v>110421</v>
      </c>
      <c r="AA372" s="257">
        <v>-65387</v>
      </c>
      <c r="AB372" s="257">
        <v>-116409</v>
      </c>
      <c r="AC372" s="257">
        <v>-44938</v>
      </c>
      <c r="AD372" s="257">
        <v>241622</v>
      </c>
      <c r="AE372" s="257">
        <v>4019</v>
      </c>
      <c r="AF372" s="257">
        <v>51125</v>
      </c>
      <c r="AG372" s="257">
        <v>67507</v>
      </c>
      <c r="AH372" s="257">
        <v>30627</v>
      </c>
      <c r="AI372" s="257">
        <v>2694</v>
      </c>
      <c r="AJ372" s="257">
        <v>73254</v>
      </c>
      <c r="AK372" s="257">
        <v>144712</v>
      </c>
      <c r="AL372" s="257">
        <v>204875</v>
      </c>
      <c r="AM372" s="257">
        <v>-53678</v>
      </c>
      <c r="AN372" s="257">
        <v>41858</v>
      </c>
      <c r="AO372" s="257">
        <v>47796</v>
      </c>
      <c r="AP372" s="257">
        <v>842346</v>
      </c>
      <c r="AQ372" s="257">
        <v>-61461</v>
      </c>
      <c r="AR372" s="257">
        <v>-161263</v>
      </c>
      <c r="AS372" s="257">
        <v>-271861</v>
      </c>
      <c r="AT372" s="257">
        <v>452766</v>
      </c>
      <c r="AU372" s="257">
        <v>-65792</v>
      </c>
      <c r="AV372" s="257">
        <v>355110</v>
      </c>
      <c r="AW372" s="257">
        <v>452214</v>
      </c>
      <c r="AX372" s="257">
        <v>1333046</v>
      </c>
      <c r="AY372" s="257">
        <v>1068970</v>
      </c>
      <c r="AZ372" s="257">
        <v>1708050</v>
      </c>
      <c r="BA372" s="257">
        <v>2500364</v>
      </c>
      <c r="BB372" s="257">
        <v>3427072</v>
      </c>
      <c r="BC372" s="257">
        <v>1162065</v>
      </c>
      <c r="BD372" s="257">
        <v>2003034</v>
      </c>
      <c r="BE372" s="257">
        <v>3631858</v>
      </c>
      <c r="BF372" s="257">
        <v>5179905</v>
      </c>
    </row>
    <row r="373" spans="1:58" x14ac:dyDescent="0.3">
      <c r="A373" s="255"/>
      <c r="B373" s="256"/>
      <c r="C373" s="256"/>
      <c r="D373" s="256"/>
      <c r="E373" s="256"/>
      <c r="F373" s="256"/>
      <c r="G373" s="256"/>
      <c r="H373" s="256"/>
      <c r="I373" s="256"/>
      <c r="J373" s="256"/>
      <c r="K373" s="256"/>
      <c r="L373" s="256"/>
      <c r="M373" s="256"/>
      <c r="N373" s="256"/>
      <c r="O373" s="256"/>
      <c r="P373" s="256"/>
      <c r="Q373" s="256"/>
      <c r="R373" s="256"/>
      <c r="S373" s="256"/>
      <c r="T373" s="256"/>
      <c r="U373" s="256"/>
      <c r="V373" s="256"/>
      <c r="W373" s="256"/>
      <c r="X373" s="256"/>
      <c r="Y373" s="256"/>
      <c r="Z373" s="256"/>
      <c r="AA373" s="256"/>
      <c r="AB373" s="256"/>
      <c r="AC373" s="256"/>
      <c r="AD373" s="256"/>
      <c r="AE373" s="256"/>
      <c r="AF373" s="256"/>
      <c r="AG373" s="256"/>
      <c r="AH373" s="256"/>
      <c r="AI373" s="256"/>
      <c r="AJ373" s="256"/>
      <c r="AK373" s="256"/>
      <c r="AL373" s="256"/>
      <c r="AM373" s="256"/>
      <c r="AN373" s="256"/>
      <c r="AO373" s="256"/>
      <c r="AP373" s="256"/>
      <c r="AQ373" s="256"/>
      <c r="AR373" s="256"/>
      <c r="AS373" s="256"/>
      <c r="AT373" s="256"/>
      <c r="AU373" s="256"/>
      <c r="AV373" s="256"/>
      <c r="AW373" s="256"/>
      <c r="AX373" s="256"/>
      <c r="AY373" s="256"/>
      <c r="AZ373" s="256"/>
      <c r="BA373" s="256"/>
      <c r="BB373" s="256"/>
      <c r="BC373" s="256"/>
      <c r="BD373" s="256"/>
      <c r="BE373" s="256"/>
      <c r="BF373" s="256"/>
    </row>
    <row r="374" spans="1:58" x14ac:dyDescent="0.3">
      <c r="A374" s="255" t="s">
        <v>1078</v>
      </c>
      <c r="B374" s="256" t="s">
        <v>5</v>
      </c>
      <c r="C374" s="256" t="s">
        <v>5</v>
      </c>
      <c r="D374" s="256" t="s">
        <v>5</v>
      </c>
      <c r="E374" s="256" t="s">
        <v>5</v>
      </c>
      <c r="F374" s="256" t="s">
        <v>5</v>
      </c>
      <c r="G374" s="256" t="s">
        <v>5</v>
      </c>
      <c r="H374" s="256" t="s">
        <v>5</v>
      </c>
      <c r="I374" s="256" t="s">
        <v>5</v>
      </c>
      <c r="J374" s="256" t="s">
        <v>5</v>
      </c>
      <c r="K374" s="256" t="s">
        <v>5</v>
      </c>
      <c r="L374" s="256" t="s">
        <v>5</v>
      </c>
      <c r="M374" s="256" t="s">
        <v>5</v>
      </c>
      <c r="N374" s="256" t="s">
        <v>5</v>
      </c>
      <c r="O374" s="256" t="s">
        <v>5</v>
      </c>
      <c r="P374" s="256" t="s">
        <v>5</v>
      </c>
      <c r="Q374" s="256" t="s">
        <v>5</v>
      </c>
      <c r="R374" s="256" t="s">
        <v>5</v>
      </c>
      <c r="S374" s="256" t="s">
        <v>5</v>
      </c>
      <c r="T374" s="256" t="s">
        <v>5</v>
      </c>
      <c r="U374" s="256" t="s">
        <v>5</v>
      </c>
      <c r="V374" s="256" t="s">
        <v>5</v>
      </c>
      <c r="W374" s="256" t="s">
        <v>5</v>
      </c>
      <c r="X374" s="256" t="s">
        <v>5</v>
      </c>
      <c r="Y374" s="256" t="s">
        <v>5</v>
      </c>
      <c r="Z374" s="256" t="s">
        <v>5</v>
      </c>
      <c r="AA374" s="256" t="s">
        <v>5</v>
      </c>
      <c r="AB374" s="256" t="s">
        <v>5</v>
      </c>
      <c r="AC374" s="256" t="s">
        <v>5</v>
      </c>
      <c r="AD374" s="256" t="s">
        <v>5</v>
      </c>
      <c r="AE374" s="256" t="s">
        <v>5</v>
      </c>
      <c r="AF374" s="256" t="s">
        <v>5</v>
      </c>
      <c r="AG374" s="256" t="s">
        <v>5</v>
      </c>
      <c r="AH374" s="256" t="s">
        <v>5</v>
      </c>
      <c r="AI374" s="256" t="s">
        <v>5</v>
      </c>
      <c r="AJ374" s="256" t="s">
        <v>5</v>
      </c>
      <c r="AK374" s="256" t="s">
        <v>5</v>
      </c>
      <c r="AL374" s="256" t="s">
        <v>5</v>
      </c>
      <c r="AM374" s="256" t="s">
        <v>5</v>
      </c>
      <c r="AN374" s="256" t="s">
        <v>5</v>
      </c>
      <c r="AO374" s="256" t="s">
        <v>5</v>
      </c>
      <c r="AP374" s="256" t="s">
        <v>5</v>
      </c>
      <c r="AQ374" s="256" t="s">
        <v>5</v>
      </c>
      <c r="AR374" s="256" t="s">
        <v>5</v>
      </c>
      <c r="AS374" s="256" t="s">
        <v>5</v>
      </c>
      <c r="AT374" s="256" t="s">
        <v>5</v>
      </c>
      <c r="AU374" s="256" t="s">
        <v>5</v>
      </c>
      <c r="AV374" s="256" t="s">
        <v>5</v>
      </c>
      <c r="AW374" s="256" t="s">
        <v>5</v>
      </c>
      <c r="AX374" s="256" t="s">
        <v>5</v>
      </c>
      <c r="AY374" s="256" t="s">
        <v>5</v>
      </c>
      <c r="AZ374" s="256" t="s">
        <v>5</v>
      </c>
      <c r="BA374" s="256" t="s">
        <v>5</v>
      </c>
      <c r="BB374" s="256" t="s">
        <v>5</v>
      </c>
      <c r="BC374" s="256" t="s">
        <v>5</v>
      </c>
      <c r="BD374" s="256" t="s">
        <v>5</v>
      </c>
      <c r="BE374" s="256" t="s">
        <v>5</v>
      </c>
      <c r="BF374" s="256" t="s">
        <v>5</v>
      </c>
    </row>
    <row r="375" spans="1:58" x14ac:dyDescent="0.3">
      <c r="A375" s="255" t="s">
        <v>956</v>
      </c>
      <c r="B375" s="256">
        <v>12</v>
      </c>
      <c r="C375" s="256">
        <v>3</v>
      </c>
      <c r="D375" s="256">
        <v>6</v>
      </c>
      <c r="E375" s="256">
        <v>9</v>
      </c>
      <c r="F375" s="256">
        <v>12</v>
      </c>
      <c r="G375" s="256">
        <v>3</v>
      </c>
      <c r="H375" s="256">
        <v>6</v>
      </c>
      <c r="I375" s="256">
        <v>9</v>
      </c>
      <c r="J375" s="256">
        <v>12</v>
      </c>
      <c r="K375" s="256">
        <v>3</v>
      </c>
      <c r="L375" s="256">
        <v>6</v>
      </c>
      <c r="M375" s="256">
        <v>9</v>
      </c>
      <c r="N375" s="256">
        <v>12</v>
      </c>
      <c r="O375" s="256">
        <v>3</v>
      </c>
      <c r="P375" s="256">
        <v>6</v>
      </c>
      <c r="Q375" s="256">
        <v>9</v>
      </c>
      <c r="R375" s="256">
        <v>12</v>
      </c>
      <c r="S375" s="256">
        <v>3</v>
      </c>
      <c r="T375" s="256">
        <v>6</v>
      </c>
      <c r="U375" s="256">
        <v>9</v>
      </c>
      <c r="V375" s="256">
        <v>12</v>
      </c>
      <c r="W375" s="256">
        <v>3</v>
      </c>
      <c r="X375" s="256">
        <v>6</v>
      </c>
      <c r="Y375" s="256">
        <v>9</v>
      </c>
      <c r="Z375" s="256">
        <v>12</v>
      </c>
      <c r="AA375" s="256">
        <v>3</v>
      </c>
      <c r="AB375" s="256">
        <v>6</v>
      </c>
      <c r="AC375" s="256">
        <v>9</v>
      </c>
      <c r="AD375" s="256">
        <v>12</v>
      </c>
      <c r="AE375" s="256">
        <v>3</v>
      </c>
      <c r="AF375" s="256">
        <v>6</v>
      </c>
      <c r="AG375" s="256">
        <v>9</v>
      </c>
      <c r="AH375" s="256">
        <v>12</v>
      </c>
      <c r="AI375" s="256">
        <v>3</v>
      </c>
      <c r="AJ375" s="256">
        <v>6</v>
      </c>
      <c r="AK375" s="256">
        <v>9</v>
      </c>
      <c r="AL375" s="256">
        <v>12</v>
      </c>
      <c r="AM375" s="256">
        <v>3</v>
      </c>
      <c r="AN375" s="256">
        <v>6</v>
      </c>
      <c r="AO375" s="256">
        <v>9</v>
      </c>
      <c r="AP375" s="256">
        <v>12</v>
      </c>
      <c r="AQ375" s="256">
        <v>3</v>
      </c>
      <c r="AR375" s="256">
        <v>6</v>
      </c>
      <c r="AS375" s="256">
        <v>9</v>
      </c>
      <c r="AT375" s="256">
        <v>12</v>
      </c>
      <c r="AU375" s="256">
        <v>3</v>
      </c>
      <c r="AV375" s="256">
        <v>6</v>
      </c>
      <c r="AW375" s="256">
        <v>9</v>
      </c>
      <c r="AX375" s="256">
        <v>12</v>
      </c>
      <c r="AY375" s="256">
        <v>3</v>
      </c>
      <c r="AZ375" s="256">
        <v>6</v>
      </c>
      <c r="BA375" s="256">
        <v>9</v>
      </c>
      <c r="BB375" s="256">
        <v>12</v>
      </c>
      <c r="BC375" s="256">
        <v>3</v>
      </c>
      <c r="BD375" s="256">
        <v>6</v>
      </c>
      <c r="BE375" s="256">
        <v>9</v>
      </c>
      <c r="BF375" s="256">
        <v>12</v>
      </c>
    </row>
    <row r="376" spans="1:58" x14ac:dyDescent="0.3">
      <c r="A376" s="255"/>
      <c r="B376" s="256"/>
      <c r="C376" s="256"/>
      <c r="D376" s="256"/>
      <c r="E376" s="256"/>
      <c r="F376" s="256"/>
      <c r="G376" s="256"/>
      <c r="H376" s="256"/>
      <c r="I376" s="256"/>
      <c r="J376" s="256"/>
      <c r="K376" s="256"/>
      <c r="L376" s="256"/>
      <c r="M376" s="256"/>
      <c r="N376" s="256"/>
      <c r="O376" s="256"/>
      <c r="P376" s="256"/>
      <c r="Q376" s="256"/>
      <c r="R376" s="256"/>
      <c r="S376" s="256"/>
      <c r="T376" s="256"/>
      <c r="U376" s="256"/>
      <c r="V376" s="256"/>
      <c r="W376" s="256"/>
      <c r="X376" s="256"/>
      <c r="Y376" s="256"/>
      <c r="Z376" s="256"/>
      <c r="AA376" s="256"/>
      <c r="AB376" s="256"/>
      <c r="AC376" s="256"/>
      <c r="AD376" s="256"/>
      <c r="AE376" s="256"/>
      <c r="AF376" s="256"/>
      <c r="AG376" s="256"/>
      <c r="AH376" s="256"/>
      <c r="AI376" s="256"/>
      <c r="AJ376" s="256"/>
      <c r="AK376" s="256"/>
      <c r="AL376" s="256"/>
      <c r="AM376" s="256"/>
      <c r="AN376" s="256"/>
      <c r="AO376" s="256"/>
      <c r="AP376" s="256"/>
      <c r="AQ376" s="256"/>
      <c r="AR376" s="256"/>
      <c r="AS376" s="256"/>
      <c r="AT376" s="256"/>
      <c r="AU376" s="256"/>
      <c r="AV376" s="256"/>
      <c r="AW376" s="256"/>
      <c r="AX376" s="256"/>
      <c r="AY376" s="256"/>
      <c r="AZ376" s="256"/>
      <c r="BA376" s="256"/>
      <c r="BB376" s="256"/>
      <c r="BC376" s="256"/>
      <c r="BD376" s="256"/>
      <c r="BE376" s="256"/>
      <c r="BF376" s="256"/>
    </row>
    <row r="377" spans="1:58" x14ac:dyDescent="0.3">
      <c r="A377" s="255" t="s">
        <v>1079</v>
      </c>
      <c r="B377" s="256" t="s">
        <v>792</v>
      </c>
      <c r="C377" s="256" t="s">
        <v>792</v>
      </c>
      <c r="D377" s="256" t="s">
        <v>792</v>
      </c>
      <c r="E377" s="256" t="s">
        <v>792</v>
      </c>
      <c r="F377" s="256" t="s">
        <v>792</v>
      </c>
      <c r="G377" s="256" t="s">
        <v>792</v>
      </c>
      <c r="H377" s="256" t="s">
        <v>792</v>
      </c>
      <c r="I377" s="256" t="s">
        <v>792</v>
      </c>
      <c r="J377" s="256" t="s">
        <v>792</v>
      </c>
      <c r="K377" s="256" t="s">
        <v>792</v>
      </c>
      <c r="L377" s="256" t="s">
        <v>792</v>
      </c>
      <c r="M377" s="256" t="s">
        <v>792</v>
      </c>
      <c r="N377" s="256" t="s">
        <v>792</v>
      </c>
      <c r="O377" s="256" t="s">
        <v>792</v>
      </c>
      <c r="P377" s="256" t="s">
        <v>792</v>
      </c>
      <c r="Q377" s="256" t="s">
        <v>792</v>
      </c>
      <c r="R377" s="256" t="s">
        <v>792</v>
      </c>
      <c r="S377" s="256" t="s">
        <v>792</v>
      </c>
      <c r="T377" s="256" t="s">
        <v>792</v>
      </c>
      <c r="U377" s="256" t="s">
        <v>792</v>
      </c>
      <c r="V377" s="256" t="s">
        <v>792</v>
      </c>
      <c r="W377" s="256" t="s">
        <v>792</v>
      </c>
      <c r="X377" s="256" t="s">
        <v>792</v>
      </c>
      <c r="Y377" s="256" t="s">
        <v>792</v>
      </c>
      <c r="Z377" s="256" t="s">
        <v>792</v>
      </c>
      <c r="AA377" s="256" t="s">
        <v>792</v>
      </c>
      <c r="AB377" s="256" t="s">
        <v>792</v>
      </c>
      <c r="AC377" s="256" t="s">
        <v>792</v>
      </c>
      <c r="AD377" s="256" t="s">
        <v>792</v>
      </c>
      <c r="AE377" s="256" t="s">
        <v>792</v>
      </c>
      <c r="AF377" s="256" t="s">
        <v>792</v>
      </c>
      <c r="AG377" s="256" t="s">
        <v>792</v>
      </c>
      <c r="AH377" s="256" t="s">
        <v>792</v>
      </c>
      <c r="AI377" s="256" t="s">
        <v>792</v>
      </c>
      <c r="AJ377" s="256" t="s">
        <v>792</v>
      </c>
      <c r="AK377" s="256" t="s">
        <v>792</v>
      </c>
      <c r="AL377" s="256" t="s">
        <v>792</v>
      </c>
      <c r="AM377" s="256" t="s">
        <v>792</v>
      </c>
      <c r="AN377" s="256" t="s">
        <v>792</v>
      </c>
      <c r="AO377" s="256" t="s">
        <v>792</v>
      </c>
      <c r="AP377" s="256" t="s">
        <v>792</v>
      </c>
      <c r="AQ377" s="256" t="s">
        <v>792</v>
      </c>
      <c r="AR377" s="256" t="s">
        <v>792</v>
      </c>
      <c r="AS377" s="256" t="s">
        <v>792</v>
      </c>
      <c r="AT377" s="256" t="s">
        <v>792</v>
      </c>
      <c r="AU377" s="256" t="s">
        <v>792</v>
      </c>
      <c r="AV377" s="256" t="s">
        <v>792</v>
      </c>
      <c r="AW377" s="256" t="s">
        <v>792</v>
      </c>
      <c r="AX377" s="256" t="s">
        <v>792</v>
      </c>
      <c r="AY377" s="256" t="s">
        <v>792</v>
      </c>
      <c r="AZ377" s="256" t="s">
        <v>792</v>
      </c>
      <c r="BA377" s="256" t="s">
        <v>792</v>
      </c>
      <c r="BB377" s="256" t="s">
        <v>792</v>
      </c>
      <c r="BC377" s="256" t="s">
        <v>792</v>
      </c>
      <c r="BD377" s="256" t="s">
        <v>792</v>
      </c>
      <c r="BE377" s="256" t="s">
        <v>792</v>
      </c>
      <c r="BF377" s="256" t="s">
        <v>792</v>
      </c>
    </row>
    <row r="378" spans="1:58" x14ac:dyDescent="0.3">
      <c r="A378" s="258" t="s">
        <v>1080</v>
      </c>
      <c r="B378" s="264" t="s">
        <v>792</v>
      </c>
      <c r="C378" s="264" t="s">
        <v>792</v>
      </c>
      <c r="D378" s="264" t="s">
        <v>792</v>
      </c>
      <c r="E378" s="264" t="s">
        <v>792</v>
      </c>
      <c r="F378" s="264" t="s">
        <v>792</v>
      </c>
      <c r="G378" s="264" t="s">
        <v>792</v>
      </c>
      <c r="H378" s="264" t="s">
        <v>792</v>
      </c>
      <c r="I378" s="264" t="s">
        <v>792</v>
      </c>
      <c r="J378" s="264" t="s">
        <v>792</v>
      </c>
      <c r="K378" s="264" t="s">
        <v>792</v>
      </c>
      <c r="L378" s="264" t="s">
        <v>792</v>
      </c>
      <c r="M378" s="264" t="s">
        <v>792</v>
      </c>
      <c r="N378" s="264" t="s">
        <v>792</v>
      </c>
      <c r="O378" s="264" t="s">
        <v>792</v>
      </c>
      <c r="P378" s="264" t="s">
        <v>792</v>
      </c>
      <c r="Q378" s="264" t="s">
        <v>792</v>
      </c>
      <c r="R378" s="264" t="s">
        <v>792</v>
      </c>
      <c r="S378" s="264" t="s">
        <v>792</v>
      </c>
      <c r="T378" s="264" t="s">
        <v>792</v>
      </c>
      <c r="U378" s="264" t="s">
        <v>792</v>
      </c>
      <c r="V378" s="264" t="s">
        <v>792</v>
      </c>
      <c r="W378" s="264" t="s">
        <v>792</v>
      </c>
      <c r="X378" s="264" t="s">
        <v>792</v>
      </c>
      <c r="Y378" s="264" t="s">
        <v>792</v>
      </c>
      <c r="Z378" s="264" t="s">
        <v>792</v>
      </c>
      <c r="AA378" s="264" t="s">
        <v>792</v>
      </c>
      <c r="AB378" s="264" t="s">
        <v>792</v>
      </c>
      <c r="AC378" s="264" t="s">
        <v>792</v>
      </c>
      <c r="AD378" s="264" t="s">
        <v>792</v>
      </c>
      <c r="AE378" s="264" t="s">
        <v>792</v>
      </c>
      <c r="AF378" s="264" t="s">
        <v>792</v>
      </c>
      <c r="AG378" s="264" t="s">
        <v>792</v>
      </c>
      <c r="AH378" s="264" t="s">
        <v>792</v>
      </c>
      <c r="AI378" s="264" t="s">
        <v>792</v>
      </c>
      <c r="AJ378" s="264" t="s">
        <v>792</v>
      </c>
      <c r="AK378" s="264" t="s">
        <v>792</v>
      </c>
      <c r="AL378" s="264" t="s">
        <v>792</v>
      </c>
      <c r="AM378" s="264" t="s">
        <v>792</v>
      </c>
      <c r="AN378" s="264" t="s">
        <v>792</v>
      </c>
      <c r="AO378" s="264" t="s">
        <v>792</v>
      </c>
      <c r="AP378" s="264" t="s">
        <v>792</v>
      </c>
      <c r="AQ378" s="264" t="s">
        <v>792</v>
      </c>
      <c r="AR378" s="264" t="s">
        <v>792</v>
      </c>
      <c r="AS378" s="264" t="s">
        <v>792</v>
      </c>
      <c r="AT378" s="264" t="s">
        <v>792</v>
      </c>
      <c r="AU378" s="264" t="s">
        <v>792</v>
      </c>
      <c r="AV378" s="264" t="s">
        <v>792</v>
      </c>
      <c r="AW378" s="264" t="s">
        <v>792</v>
      </c>
      <c r="AX378" s="264" t="s">
        <v>792</v>
      </c>
      <c r="AY378" s="264" t="s">
        <v>792</v>
      </c>
      <c r="AZ378" s="264" t="s">
        <v>792</v>
      </c>
      <c r="BA378" s="264" t="s">
        <v>792</v>
      </c>
      <c r="BB378" s="264" t="s">
        <v>792</v>
      </c>
      <c r="BC378" s="264" t="s">
        <v>792</v>
      </c>
      <c r="BD378" s="264" t="s">
        <v>792</v>
      </c>
      <c r="BE378" s="264" t="s">
        <v>792</v>
      </c>
      <c r="BF378" s="264" t="s">
        <v>792</v>
      </c>
    </row>
    <row r="379" spans="1:58" x14ac:dyDescent="0.3">
      <c r="A379" s="260" t="s">
        <v>1081</v>
      </c>
      <c r="B379" s="261" t="s">
        <v>792</v>
      </c>
      <c r="C379" s="261" t="s">
        <v>792</v>
      </c>
      <c r="D379" s="261" t="s">
        <v>792</v>
      </c>
      <c r="E379" s="261" t="s">
        <v>792</v>
      </c>
      <c r="F379" s="261" t="s">
        <v>792</v>
      </c>
      <c r="G379" s="261" t="s">
        <v>792</v>
      </c>
      <c r="H379" s="261" t="s">
        <v>792</v>
      </c>
      <c r="I379" s="261" t="s">
        <v>792</v>
      </c>
      <c r="J379" s="261" t="s">
        <v>792</v>
      </c>
      <c r="K379" s="261" t="s">
        <v>792</v>
      </c>
      <c r="L379" s="261" t="s">
        <v>792</v>
      </c>
      <c r="M379" s="261" t="s">
        <v>792</v>
      </c>
      <c r="N379" s="261" t="s">
        <v>792</v>
      </c>
      <c r="O379" s="261" t="s">
        <v>792</v>
      </c>
      <c r="P379" s="261" t="s">
        <v>792</v>
      </c>
      <c r="Q379" s="261" t="s">
        <v>792</v>
      </c>
      <c r="R379" s="261" t="s">
        <v>792</v>
      </c>
      <c r="S379" s="261" t="s">
        <v>792</v>
      </c>
      <c r="T379" s="261" t="s">
        <v>792</v>
      </c>
      <c r="U379" s="261" t="s">
        <v>792</v>
      </c>
      <c r="V379" s="261" t="s">
        <v>792</v>
      </c>
      <c r="W379" s="261" t="s">
        <v>792</v>
      </c>
      <c r="X379" s="261" t="s">
        <v>792</v>
      </c>
      <c r="Y379" s="261" t="s">
        <v>792</v>
      </c>
      <c r="Z379" s="261" t="s">
        <v>792</v>
      </c>
      <c r="AA379" s="261" t="s">
        <v>792</v>
      </c>
      <c r="AB379" s="261" t="s">
        <v>792</v>
      </c>
      <c r="AC379" s="261" t="s">
        <v>792</v>
      </c>
      <c r="AD379" s="261" t="s">
        <v>792</v>
      </c>
      <c r="AE379" s="261" t="s">
        <v>792</v>
      </c>
      <c r="AF379" s="261" t="s">
        <v>792</v>
      </c>
      <c r="AG379" s="261" t="s">
        <v>792</v>
      </c>
      <c r="AH379" s="261" t="s">
        <v>792</v>
      </c>
      <c r="AI379" s="261" t="s">
        <v>792</v>
      </c>
      <c r="AJ379" s="261" t="s">
        <v>792</v>
      </c>
      <c r="AK379" s="261" t="s">
        <v>792</v>
      </c>
      <c r="AL379" s="261" t="s">
        <v>792</v>
      </c>
      <c r="AM379" s="261" t="s">
        <v>792</v>
      </c>
      <c r="AN379" s="261" t="s">
        <v>792</v>
      </c>
      <c r="AO379" s="261" t="s">
        <v>792</v>
      </c>
      <c r="AP379" s="261" t="s">
        <v>792</v>
      </c>
      <c r="AQ379" s="261" t="s">
        <v>792</v>
      </c>
      <c r="AR379" s="261" t="s">
        <v>792</v>
      </c>
      <c r="AS379" s="261" t="s">
        <v>792</v>
      </c>
      <c r="AT379" s="261" t="s">
        <v>792</v>
      </c>
      <c r="AU379" s="261" t="s">
        <v>792</v>
      </c>
      <c r="AV379" s="261" t="s">
        <v>792</v>
      </c>
      <c r="AW379" s="261" t="s">
        <v>792</v>
      </c>
      <c r="AX379" s="261" t="s">
        <v>792</v>
      </c>
      <c r="AY379" s="261" t="s">
        <v>792</v>
      </c>
      <c r="AZ379" s="261" t="s">
        <v>792</v>
      </c>
      <c r="BA379" s="261" t="s">
        <v>792</v>
      </c>
      <c r="BB379" s="261" t="s">
        <v>792</v>
      </c>
      <c r="BC379" s="261" t="s">
        <v>792</v>
      </c>
      <c r="BD379" s="261" t="s">
        <v>792</v>
      </c>
      <c r="BE379" s="261" t="s">
        <v>792</v>
      </c>
      <c r="BF379" s="261" t="s">
        <v>792</v>
      </c>
    </row>
    <row r="380" spans="1:58" x14ac:dyDescent="0.3">
      <c r="A380" s="260" t="s">
        <v>1082</v>
      </c>
      <c r="B380" s="261" t="s">
        <v>792</v>
      </c>
      <c r="C380" s="261" t="s">
        <v>792</v>
      </c>
      <c r="D380" s="261" t="s">
        <v>792</v>
      </c>
      <c r="E380" s="261" t="s">
        <v>792</v>
      </c>
      <c r="F380" s="261" t="s">
        <v>792</v>
      </c>
      <c r="G380" s="261" t="s">
        <v>792</v>
      </c>
      <c r="H380" s="261" t="s">
        <v>792</v>
      </c>
      <c r="I380" s="261" t="s">
        <v>792</v>
      </c>
      <c r="J380" s="261" t="s">
        <v>792</v>
      </c>
      <c r="K380" s="261" t="s">
        <v>792</v>
      </c>
      <c r="L380" s="261" t="s">
        <v>792</v>
      </c>
      <c r="M380" s="261" t="s">
        <v>792</v>
      </c>
      <c r="N380" s="261" t="s">
        <v>792</v>
      </c>
      <c r="O380" s="261" t="s">
        <v>792</v>
      </c>
      <c r="P380" s="261" t="s">
        <v>792</v>
      </c>
      <c r="Q380" s="261" t="s">
        <v>792</v>
      </c>
      <c r="R380" s="261" t="s">
        <v>792</v>
      </c>
      <c r="S380" s="261" t="s">
        <v>792</v>
      </c>
      <c r="T380" s="261" t="s">
        <v>792</v>
      </c>
      <c r="U380" s="261" t="s">
        <v>792</v>
      </c>
      <c r="V380" s="261" t="s">
        <v>792</v>
      </c>
      <c r="W380" s="261" t="s">
        <v>792</v>
      </c>
      <c r="X380" s="261" t="s">
        <v>792</v>
      </c>
      <c r="Y380" s="261" t="s">
        <v>792</v>
      </c>
      <c r="Z380" s="261" t="s">
        <v>792</v>
      </c>
      <c r="AA380" s="261" t="s">
        <v>792</v>
      </c>
      <c r="AB380" s="261" t="s">
        <v>792</v>
      </c>
      <c r="AC380" s="261" t="s">
        <v>792</v>
      </c>
      <c r="AD380" s="261" t="s">
        <v>792</v>
      </c>
      <c r="AE380" s="261" t="s">
        <v>792</v>
      </c>
      <c r="AF380" s="261" t="s">
        <v>792</v>
      </c>
      <c r="AG380" s="261" t="s">
        <v>792</v>
      </c>
      <c r="AH380" s="261" t="s">
        <v>792</v>
      </c>
      <c r="AI380" s="261" t="s">
        <v>792</v>
      </c>
      <c r="AJ380" s="261" t="s">
        <v>792</v>
      </c>
      <c r="AK380" s="261" t="s">
        <v>792</v>
      </c>
      <c r="AL380" s="261" t="s">
        <v>792</v>
      </c>
      <c r="AM380" s="261" t="s">
        <v>792</v>
      </c>
      <c r="AN380" s="261" t="s">
        <v>792</v>
      </c>
      <c r="AO380" s="261" t="s">
        <v>792</v>
      </c>
      <c r="AP380" s="261" t="s">
        <v>792</v>
      </c>
      <c r="AQ380" s="261" t="s">
        <v>792</v>
      </c>
      <c r="AR380" s="261" t="s">
        <v>792</v>
      </c>
      <c r="AS380" s="261" t="s">
        <v>792</v>
      </c>
      <c r="AT380" s="261" t="s">
        <v>792</v>
      </c>
      <c r="AU380" s="261" t="s">
        <v>792</v>
      </c>
      <c r="AV380" s="261" t="s">
        <v>792</v>
      </c>
      <c r="AW380" s="261" t="s">
        <v>792</v>
      </c>
      <c r="AX380" s="261" t="s">
        <v>792</v>
      </c>
      <c r="AY380" s="261" t="s">
        <v>792</v>
      </c>
      <c r="AZ380" s="261" t="s">
        <v>792</v>
      </c>
      <c r="BA380" s="261" t="s">
        <v>792</v>
      </c>
      <c r="BB380" s="261" t="s">
        <v>792</v>
      </c>
      <c r="BC380" s="261" t="s">
        <v>792</v>
      </c>
      <c r="BD380" s="261" t="s">
        <v>792</v>
      </c>
      <c r="BE380" s="261" t="s">
        <v>792</v>
      </c>
      <c r="BF380" s="261" t="s">
        <v>792</v>
      </c>
    </row>
    <row r="381" spans="1:58" x14ac:dyDescent="0.3">
      <c r="A381" s="263" t="s">
        <v>1083</v>
      </c>
      <c r="B381" s="264" t="s">
        <v>792</v>
      </c>
      <c r="C381" s="264" t="s">
        <v>792</v>
      </c>
      <c r="D381" s="264" t="s">
        <v>792</v>
      </c>
      <c r="E381" s="264" t="s">
        <v>792</v>
      </c>
      <c r="F381" s="264" t="s">
        <v>792</v>
      </c>
      <c r="G381" s="264" t="s">
        <v>792</v>
      </c>
      <c r="H381" s="264" t="s">
        <v>792</v>
      </c>
      <c r="I381" s="264" t="s">
        <v>792</v>
      </c>
      <c r="J381" s="264" t="s">
        <v>792</v>
      </c>
      <c r="K381" s="264" t="s">
        <v>792</v>
      </c>
      <c r="L381" s="264" t="s">
        <v>792</v>
      </c>
      <c r="M381" s="264" t="s">
        <v>792</v>
      </c>
      <c r="N381" s="264" t="s">
        <v>792</v>
      </c>
      <c r="O381" s="264" t="s">
        <v>792</v>
      </c>
      <c r="P381" s="264" t="s">
        <v>792</v>
      </c>
      <c r="Q381" s="264" t="s">
        <v>792</v>
      </c>
      <c r="R381" s="264" t="s">
        <v>792</v>
      </c>
      <c r="S381" s="264" t="s">
        <v>792</v>
      </c>
      <c r="T381" s="264" t="s">
        <v>792</v>
      </c>
      <c r="U381" s="264" t="s">
        <v>792</v>
      </c>
      <c r="V381" s="264" t="s">
        <v>792</v>
      </c>
      <c r="W381" s="264" t="s">
        <v>792</v>
      </c>
      <c r="X381" s="264" t="s">
        <v>792</v>
      </c>
      <c r="Y381" s="264" t="s">
        <v>792</v>
      </c>
      <c r="Z381" s="264" t="s">
        <v>792</v>
      </c>
      <c r="AA381" s="264" t="s">
        <v>792</v>
      </c>
      <c r="AB381" s="264" t="s">
        <v>792</v>
      </c>
      <c r="AC381" s="264" t="s">
        <v>792</v>
      </c>
      <c r="AD381" s="264" t="s">
        <v>792</v>
      </c>
      <c r="AE381" s="264" t="s">
        <v>792</v>
      </c>
      <c r="AF381" s="264" t="s">
        <v>792</v>
      </c>
      <c r="AG381" s="264" t="s">
        <v>792</v>
      </c>
      <c r="AH381" s="264" t="s">
        <v>792</v>
      </c>
      <c r="AI381" s="264" t="s">
        <v>792</v>
      </c>
      <c r="AJ381" s="264" t="s">
        <v>792</v>
      </c>
      <c r="AK381" s="264" t="s">
        <v>792</v>
      </c>
      <c r="AL381" s="264" t="s">
        <v>792</v>
      </c>
      <c r="AM381" s="264" t="s">
        <v>792</v>
      </c>
      <c r="AN381" s="264" t="s">
        <v>792</v>
      </c>
      <c r="AO381" s="264" t="s">
        <v>792</v>
      </c>
      <c r="AP381" s="264" t="s">
        <v>792</v>
      </c>
      <c r="AQ381" s="264" t="s">
        <v>792</v>
      </c>
      <c r="AR381" s="264" t="s">
        <v>792</v>
      </c>
      <c r="AS381" s="264" t="s">
        <v>792</v>
      </c>
      <c r="AT381" s="264" t="s">
        <v>792</v>
      </c>
      <c r="AU381" s="264" t="s">
        <v>792</v>
      </c>
      <c r="AV381" s="264" t="s">
        <v>792</v>
      </c>
      <c r="AW381" s="264" t="s">
        <v>792</v>
      </c>
      <c r="AX381" s="264" t="s">
        <v>792</v>
      </c>
      <c r="AY381" s="264" t="s">
        <v>792</v>
      </c>
      <c r="AZ381" s="264" t="s">
        <v>792</v>
      </c>
      <c r="BA381" s="264" t="s">
        <v>792</v>
      </c>
      <c r="BB381" s="264" t="s">
        <v>792</v>
      </c>
      <c r="BC381" s="264" t="s">
        <v>792</v>
      </c>
      <c r="BD381" s="264" t="s">
        <v>792</v>
      </c>
      <c r="BE381" s="264" t="s">
        <v>792</v>
      </c>
      <c r="BF381" s="264" t="s">
        <v>792</v>
      </c>
    </row>
    <row r="382" spans="1:58" x14ac:dyDescent="0.3">
      <c r="A382" s="263" t="s">
        <v>1084</v>
      </c>
      <c r="B382" s="264" t="s">
        <v>792</v>
      </c>
      <c r="C382" s="264" t="s">
        <v>792</v>
      </c>
      <c r="D382" s="264" t="s">
        <v>792</v>
      </c>
      <c r="E382" s="264" t="s">
        <v>792</v>
      </c>
      <c r="F382" s="264" t="s">
        <v>792</v>
      </c>
      <c r="G382" s="264" t="s">
        <v>792</v>
      </c>
      <c r="H382" s="264" t="s">
        <v>792</v>
      </c>
      <c r="I382" s="264" t="s">
        <v>792</v>
      </c>
      <c r="J382" s="264" t="s">
        <v>792</v>
      </c>
      <c r="K382" s="264" t="s">
        <v>792</v>
      </c>
      <c r="L382" s="264" t="s">
        <v>792</v>
      </c>
      <c r="M382" s="264" t="s">
        <v>792</v>
      </c>
      <c r="N382" s="264" t="s">
        <v>792</v>
      </c>
      <c r="O382" s="264" t="s">
        <v>792</v>
      </c>
      <c r="P382" s="264" t="s">
        <v>792</v>
      </c>
      <c r="Q382" s="264" t="s">
        <v>792</v>
      </c>
      <c r="R382" s="264" t="s">
        <v>792</v>
      </c>
      <c r="S382" s="264" t="s">
        <v>792</v>
      </c>
      <c r="T382" s="264" t="s">
        <v>792</v>
      </c>
      <c r="U382" s="264" t="s">
        <v>792</v>
      </c>
      <c r="V382" s="264" t="s">
        <v>792</v>
      </c>
      <c r="W382" s="264" t="s">
        <v>792</v>
      </c>
      <c r="X382" s="264" t="s">
        <v>792</v>
      </c>
      <c r="Y382" s="264" t="s">
        <v>792</v>
      </c>
      <c r="Z382" s="264" t="s">
        <v>792</v>
      </c>
      <c r="AA382" s="264" t="s">
        <v>792</v>
      </c>
      <c r="AB382" s="264" t="s">
        <v>792</v>
      </c>
      <c r="AC382" s="264" t="s">
        <v>792</v>
      </c>
      <c r="AD382" s="264" t="s">
        <v>792</v>
      </c>
      <c r="AE382" s="264" t="s">
        <v>792</v>
      </c>
      <c r="AF382" s="264" t="s">
        <v>792</v>
      </c>
      <c r="AG382" s="264" t="s">
        <v>792</v>
      </c>
      <c r="AH382" s="264" t="s">
        <v>792</v>
      </c>
      <c r="AI382" s="264" t="s">
        <v>792</v>
      </c>
      <c r="AJ382" s="264" t="s">
        <v>792</v>
      </c>
      <c r="AK382" s="264" t="s">
        <v>792</v>
      </c>
      <c r="AL382" s="264" t="s">
        <v>792</v>
      </c>
      <c r="AM382" s="264" t="s">
        <v>792</v>
      </c>
      <c r="AN382" s="264" t="s">
        <v>792</v>
      </c>
      <c r="AO382" s="264" t="s">
        <v>792</v>
      </c>
      <c r="AP382" s="264" t="s">
        <v>792</v>
      </c>
      <c r="AQ382" s="264" t="s">
        <v>792</v>
      </c>
      <c r="AR382" s="264" t="s">
        <v>792</v>
      </c>
      <c r="AS382" s="264" t="s">
        <v>792</v>
      </c>
      <c r="AT382" s="264" t="s">
        <v>792</v>
      </c>
      <c r="AU382" s="264" t="s">
        <v>792</v>
      </c>
      <c r="AV382" s="264" t="s">
        <v>792</v>
      </c>
      <c r="AW382" s="264" t="s">
        <v>792</v>
      </c>
      <c r="AX382" s="264" t="s">
        <v>792</v>
      </c>
      <c r="AY382" s="264" t="s">
        <v>792</v>
      </c>
      <c r="AZ382" s="264" t="s">
        <v>792</v>
      </c>
      <c r="BA382" s="264" t="s">
        <v>792</v>
      </c>
      <c r="BB382" s="264" t="s">
        <v>792</v>
      </c>
      <c r="BC382" s="264" t="s">
        <v>792</v>
      </c>
      <c r="BD382" s="264" t="s">
        <v>792</v>
      </c>
      <c r="BE382" s="264" t="s">
        <v>792</v>
      </c>
      <c r="BF382" s="264" t="s">
        <v>792</v>
      </c>
    </row>
    <row r="383" spans="1:58" x14ac:dyDescent="0.3">
      <c r="A383" s="263" t="s">
        <v>1085</v>
      </c>
      <c r="B383" s="264" t="s">
        <v>792</v>
      </c>
      <c r="C383" s="264" t="s">
        <v>792</v>
      </c>
      <c r="D383" s="264" t="s">
        <v>792</v>
      </c>
      <c r="E383" s="264" t="s">
        <v>792</v>
      </c>
      <c r="F383" s="264" t="s">
        <v>792</v>
      </c>
      <c r="G383" s="264" t="s">
        <v>792</v>
      </c>
      <c r="H383" s="264" t="s">
        <v>792</v>
      </c>
      <c r="I383" s="264" t="s">
        <v>792</v>
      </c>
      <c r="J383" s="264" t="s">
        <v>792</v>
      </c>
      <c r="K383" s="264" t="s">
        <v>792</v>
      </c>
      <c r="L383" s="264" t="s">
        <v>792</v>
      </c>
      <c r="M383" s="264" t="s">
        <v>792</v>
      </c>
      <c r="N383" s="264" t="s">
        <v>792</v>
      </c>
      <c r="O383" s="264" t="s">
        <v>792</v>
      </c>
      <c r="P383" s="264" t="s">
        <v>792</v>
      </c>
      <c r="Q383" s="264" t="s">
        <v>792</v>
      </c>
      <c r="R383" s="264" t="s">
        <v>792</v>
      </c>
      <c r="S383" s="264" t="s">
        <v>792</v>
      </c>
      <c r="T383" s="264" t="s">
        <v>792</v>
      </c>
      <c r="U383" s="264" t="s">
        <v>792</v>
      </c>
      <c r="V383" s="264" t="s">
        <v>792</v>
      </c>
      <c r="W383" s="264" t="s">
        <v>792</v>
      </c>
      <c r="X383" s="264" t="s">
        <v>792</v>
      </c>
      <c r="Y383" s="264" t="s">
        <v>792</v>
      </c>
      <c r="Z383" s="264" t="s">
        <v>792</v>
      </c>
      <c r="AA383" s="264" t="s">
        <v>792</v>
      </c>
      <c r="AB383" s="264" t="s">
        <v>792</v>
      </c>
      <c r="AC383" s="264" t="s">
        <v>792</v>
      </c>
      <c r="AD383" s="264" t="s">
        <v>792</v>
      </c>
      <c r="AE383" s="264" t="s">
        <v>792</v>
      </c>
      <c r="AF383" s="264" t="s">
        <v>792</v>
      </c>
      <c r="AG383" s="264" t="s">
        <v>792</v>
      </c>
      <c r="AH383" s="264" t="s">
        <v>792</v>
      </c>
      <c r="AI383" s="264" t="s">
        <v>792</v>
      </c>
      <c r="AJ383" s="264" t="s">
        <v>792</v>
      </c>
      <c r="AK383" s="264" t="s">
        <v>792</v>
      </c>
      <c r="AL383" s="264" t="s">
        <v>792</v>
      </c>
      <c r="AM383" s="264" t="s">
        <v>792</v>
      </c>
      <c r="AN383" s="264" t="s">
        <v>792</v>
      </c>
      <c r="AO383" s="264" t="s">
        <v>792</v>
      </c>
      <c r="AP383" s="264" t="s">
        <v>792</v>
      </c>
      <c r="AQ383" s="264" t="s">
        <v>792</v>
      </c>
      <c r="AR383" s="264" t="s">
        <v>792</v>
      </c>
      <c r="AS383" s="264" t="s">
        <v>792</v>
      </c>
      <c r="AT383" s="264" t="s">
        <v>792</v>
      </c>
      <c r="AU383" s="264" t="s">
        <v>792</v>
      </c>
      <c r="AV383" s="264" t="s">
        <v>792</v>
      </c>
      <c r="AW383" s="264" t="s">
        <v>792</v>
      </c>
      <c r="AX383" s="264" t="s">
        <v>792</v>
      </c>
      <c r="AY383" s="264" t="s">
        <v>792</v>
      </c>
      <c r="AZ383" s="264" t="s">
        <v>792</v>
      </c>
      <c r="BA383" s="264" t="s">
        <v>792</v>
      </c>
      <c r="BB383" s="264" t="s">
        <v>792</v>
      </c>
      <c r="BC383" s="264" t="s">
        <v>792</v>
      </c>
      <c r="BD383" s="264" t="s">
        <v>792</v>
      </c>
      <c r="BE383" s="264" t="s">
        <v>792</v>
      </c>
      <c r="BF383" s="264" t="s">
        <v>792</v>
      </c>
    </row>
    <row r="384" spans="1:58" x14ac:dyDescent="0.3">
      <c r="A384" s="263" t="s">
        <v>1086</v>
      </c>
      <c r="B384" s="264" t="s">
        <v>792</v>
      </c>
      <c r="C384" s="264" t="s">
        <v>792</v>
      </c>
      <c r="D384" s="264" t="s">
        <v>792</v>
      </c>
      <c r="E384" s="264" t="s">
        <v>792</v>
      </c>
      <c r="F384" s="264" t="s">
        <v>792</v>
      </c>
      <c r="G384" s="264" t="s">
        <v>792</v>
      </c>
      <c r="H384" s="264" t="s">
        <v>792</v>
      </c>
      <c r="I384" s="264" t="s">
        <v>792</v>
      </c>
      <c r="J384" s="264" t="s">
        <v>792</v>
      </c>
      <c r="K384" s="264" t="s">
        <v>792</v>
      </c>
      <c r="L384" s="264" t="s">
        <v>792</v>
      </c>
      <c r="M384" s="264" t="s">
        <v>792</v>
      </c>
      <c r="N384" s="264" t="s">
        <v>792</v>
      </c>
      <c r="O384" s="264" t="s">
        <v>792</v>
      </c>
      <c r="P384" s="264" t="s">
        <v>792</v>
      </c>
      <c r="Q384" s="264" t="s">
        <v>792</v>
      </c>
      <c r="R384" s="264" t="s">
        <v>792</v>
      </c>
      <c r="S384" s="264" t="s">
        <v>792</v>
      </c>
      <c r="T384" s="264" t="s">
        <v>792</v>
      </c>
      <c r="U384" s="264" t="s">
        <v>792</v>
      </c>
      <c r="V384" s="264" t="s">
        <v>792</v>
      </c>
      <c r="W384" s="264" t="s">
        <v>792</v>
      </c>
      <c r="X384" s="264" t="s">
        <v>792</v>
      </c>
      <c r="Y384" s="264" t="s">
        <v>792</v>
      </c>
      <c r="Z384" s="264" t="s">
        <v>792</v>
      </c>
      <c r="AA384" s="264" t="s">
        <v>792</v>
      </c>
      <c r="AB384" s="264" t="s">
        <v>792</v>
      </c>
      <c r="AC384" s="264" t="s">
        <v>792</v>
      </c>
      <c r="AD384" s="264" t="s">
        <v>792</v>
      </c>
      <c r="AE384" s="264" t="s">
        <v>792</v>
      </c>
      <c r="AF384" s="264" t="s">
        <v>792</v>
      </c>
      <c r="AG384" s="264" t="s">
        <v>792</v>
      </c>
      <c r="AH384" s="264" t="s">
        <v>792</v>
      </c>
      <c r="AI384" s="264" t="s">
        <v>792</v>
      </c>
      <c r="AJ384" s="264" t="s">
        <v>792</v>
      </c>
      <c r="AK384" s="264" t="s">
        <v>792</v>
      </c>
      <c r="AL384" s="264" t="s">
        <v>792</v>
      </c>
      <c r="AM384" s="264" t="s">
        <v>792</v>
      </c>
      <c r="AN384" s="264" t="s">
        <v>792</v>
      </c>
      <c r="AO384" s="264" t="s">
        <v>792</v>
      </c>
      <c r="AP384" s="264" t="s">
        <v>792</v>
      </c>
      <c r="AQ384" s="264" t="s">
        <v>792</v>
      </c>
      <c r="AR384" s="264" t="s">
        <v>792</v>
      </c>
      <c r="AS384" s="264" t="s">
        <v>792</v>
      </c>
      <c r="AT384" s="264" t="s">
        <v>792</v>
      </c>
      <c r="AU384" s="264" t="s">
        <v>792</v>
      </c>
      <c r="AV384" s="264" t="s">
        <v>792</v>
      </c>
      <c r="AW384" s="264" t="s">
        <v>792</v>
      </c>
      <c r="AX384" s="264" t="s">
        <v>792</v>
      </c>
      <c r="AY384" s="264" t="s">
        <v>792</v>
      </c>
      <c r="AZ384" s="264" t="s">
        <v>792</v>
      </c>
      <c r="BA384" s="264" t="s">
        <v>792</v>
      </c>
      <c r="BB384" s="264" t="s">
        <v>792</v>
      </c>
      <c r="BC384" s="264" t="s">
        <v>792</v>
      </c>
      <c r="BD384" s="264" t="s">
        <v>792</v>
      </c>
      <c r="BE384" s="264" t="s">
        <v>792</v>
      </c>
      <c r="BF384" s="264" t="s">
        <v>792</v>
      </c>
    </row>
    <row r="385" spans="1:58" x14ac:dyDescent="0.3">
      <c r="A385" s="263" t="s">
        <v>1087</v>
      </c>
      <c r="B385" s="264" t="s">
        <v>792</v>
      </c>
      <c r="C385" s="264" t="s">
        <v>792</v>
      </c>
      <c r="D385" s="264" t="s">
        <v>792</v>
      </c>
      <c r="E385" s="264" t="s">
        <v>792</v>
      </c>
      <c r="F385" s="264" t="s">
        <v>792</v>
      </c>
      <c r="G385" s="264" t="s">
        <v>792</v>
      </c>
      <c r="H385" s="264" t="s">
        <v>792</v>
      </c>
      <c r="I385" s="264" t="s">
        <v>792</v>
      </c>
      <c r="J385" s="264" t="s">
        <v>792</v>
      </c>
      <c r="K385" s="264" t="s">
        <v>792</v>
      </c>
      <c r="L385" s="264" t="s">
        <v>792</v>
      </c>
      <c r="M385" s="264" t="s">
        <v>792</v>
      </c>
      <c r="N385" s="264" t="s">
        <v>792</v>
      </c>
      <c r="O385" s="264" t="s">
        <v>792</v>
      </c>
      <c r="P385" s="264" t="s">
        <v>792</v>
      </c>
      <c r="Q385" s="264" t="s">
        <v>792</v>
      </c>
      <c r="R385" s="264" t="s">
        <v>792</v>
      </c>
      <c r="S385" s="264" t="s">
        <v>792</v>
      </c>
      <c r="T385" s="264" t="s">
        <v>792</v>
      </c>
      <c r="U385" s="264" t="s">
        <v>792</v>
      </c>
      <c r="V385" s="264" t="s">
        <v>792</v>
      </c>
      <c r="W385" s="264" t="s">
        <v>792</v>
      </c>
      <c r="X385" s="264" t="s">
        <v>792</v>
      </c>
      <c r="Y385" s="264" t="s">
        <v>792</v>
      </c>
      <c r="Z385" s="264" t="s">
        <v>792</v>
      </c>
      <c r="AA385" s="264" t="s">
        <v>792</v>
      </c>
      <c r="AB385" s="264" t="s">
        <v>792</v>
      </c>
      <c r="AC385" s="264" t="s">
        <v>792</v>
      </c>
      <c r="AD385" s="264" t="s">
        <v>792</v>
      </c>
      <c r="AE385" s="264" t="s">
        <v>792</v>
      </c>
      <c r="AF385" s="264" t="s">
        <v>792</v>
      </c>
      <c r="AG385" s="264" t="s">
        <v>792</v>
      </c>
      <c r="AH385" s="264" t="s">
        <v>792</v>
      </c>
      <c r="AI385" s="264" t="s">
        <v>792</v>
      </c>
      <c r="AJ385" s="264" t="s">
        <v>792</v>
      </c>
      <c r="AK385" s="264" t="s">
        <v>792</v>
      </c>
      <c r="AL385" s="264" t="s">
        <v>792</v>
      </c>
      <c r="AM385" s="264" t="s">
        <v>792</v>
      </c>
      <c r="AN385" s="264" t="s">
        <v>792</v>
      </c>
      <c r="AO385" s="264" t="s">
        <v>792</v>
      </c>
      <c r="AP385" s="264" t="s">
        <v>792</v>
      </c>
      <c r="AQ385" s="264" t="s">
        <v>792</v>
      </c>
      <c r="AR385" s="264" t="s">
        <v>792</v>
      </c>
      <c r="AS385" s="264" t="s">
        <v>792</v>
      </c>
      <c r="AT385" s="264" t="s">
        <v>792</v>
      </c>
      <c r="AU385" s="264" t="s">
        <v>792</v>
      </c>
      <c r="AV385" s="264" t="s">
        <v>792</v>
      </c>
      <c r="AW385" s="264" t="s">
        <v>792</v>
      </c>
      <c r="AX385" s="264" t="s">
        <v>792</v>
      </c>
      <c r="AY385" s="264" t="s">
        <v>792</v>
      </c>
      <c r="AZ385" s="264" t="s">
        <v>792</v>
      </c>
      <c r="BA385" s="264" t="s">
        <v>792</v>
      </c>
      <c r="BB385" s="264" t="s">
        <v>792</v>
      </c>
      <c r="BC385" s="264" t="s">
        <v>792</v>
      </c>
      <c r="BD385" s="264" t="s">
        <v>792</v>
      </c>
      <c r="BE385" s="264" t="s">
        <v>792</v>
      </c>
      <c r="BF385" s="264" t="s">
        <v>792</v>
      </c>
    </row>
    <row r="386" spans="1:58" x14ac:dyDescent="0.3">
      <c r="A386" s="263" t="s">
        <v>1088</v>
      </c>
      <c r="B386" s="264" t="s">
        <v>792</v>
      </c>
      <c r="C386" s="264" t="s">
        <v>792</v>
      </c>
      <c r="D386" s="264" t="s">
        <v>792</v>
      </c>
      <c r="E386" s="264" t="s">
        <v>792</v>
      </c>
      <c r="F386" s="264" t="s">
        <v>792</v>
      </c>
      <c r="G386" s="264" t="s">
        <v>792</v>
      </c>
      <c r="H386" s="264" t="s">
        <v>792</v>
      </c>
      <c r="I386" s="264" t="s">
        <v>792</v>
      </c>
      <c r="J386" s="264" t="s">
        <v>792</v>
      </c>
      <c r="K386" s="264" t="s">
        <v>792</v>
      </c>
      <c r="L386" s="264" t="s">
        <v>792</v>
      </c>
      <c r="M386" s="264" t="s">
        <v>792</v>
      </c>
      <c r="N386" s="264" t="s">
        <v>792</v>
      </c>
      <c r="O386" s="264" t="s">
        <v>792</v>
      </c>
      <c r="P386" s="264" t="s">
        <v>792</v>
      </c>
      <c r="Q386" s="264" t="s">
        <v>792</v>
      </c>
      <c r="R386" s="264" t="s">
        <v>792</v>
      </c>
      <c r="S386" s="264" t="s">
        <v>792</v>
      </c>
      <c r="T386" s="264" t="s">
        <v>792</v>
      </c>
      <c r="U386" s="264" t="s">
        <v>792</v>
      </c>
      <c r="V386" s="264" t="s">
        <v>792</v>
      </c>
      <c r="W386" s="264" t="s">
        <v>792</v>
      </c>
      <c r="X386" s="264" t="s">
        <v>792</v>
      </c>
      <c r="Y386" s="264" t="s">
        <v>792</v>
      </c>
      <c r="Z386" s="264" t="s">
        <v>792</v>
      </c>
      <c r="AA386" s="264" t="s">
        <v>792</v>
      </c>
      <c r="AB386" s="264" t="s">
        <v>792</v>
      </c>
      <c r="AC386" s="264" t="s">
        <v>792</v>
      </c>
      <c r="AD386" s="264" t="s">
        <v>792</v>
      </c>
      <c r="AE386" s="264" t="s">
        <v>792</v>
      </c>
      <c r="AF386" s="264" t="s">
        <v>792</v>
      </c>
      <c r="AG386" s="264" t="s">
        <v>792</v>
      </c>
      <c r="AH386" s="264" t="s">
        <v>792</v>
      </c>
      <c r="AI386" s="264" t="s">
        <v>792</v>
      </c>
      <c r="AJ386" s="264" t="s">
        <v>792</v>
      </c>
      <c r="AK386" s="264" t="s">
        <v>792</v>
      </c>
      <c r="AL386" s="264" t="s">
        <v>792</v>
      </c>
      <c r="AM386" s="264" t="s">
        <v>792</v>
      </c>
      <c r="AN386" s="264" t="s">
        <v>792</v>
      </c>
      <c r="AO386" s="264" t="s">
        <v>792</v>
      </c>
      <c r="AP386" s="264" t="s">
        <v>792</v>
      </c>
      <c r="AQ386" s="264" t="s">
        <v>792</v>
      </c>
      <c r="AR386" s="264" t="s">
        <v>792</v>
      </c>
      <c r="AS386" s="264" t="s">
        <v>792</v>
      </c>
      <c r="AT386" s="264" t="s">
        <v>792</v>
      </c>
      <c r="AU386" s="264" t="s">
        <v>792</v>
      </c>
      <c r="AV386" s="264" t="s">
        <v>792</v>
      </c>
      <c r="AW386" s="264" t="s">
        <v>792</v>
      </c>
      <c r="AX386" s="264" t="s">
        <v>792</v>
      </c>
      <c r="AY386" s="264" t="s">
        <v>792</v>
      </c>
      <c r="AZ386" s="264" t="s">
        <v>792</v>
      </c>
      <c r="BA386" s="264" t="s">
        <v>792</v>
      </c>
      <c r="BB386" s="264" t="s">
        <v>792</v>
      </c>
      <c r="BC386" s="264" t="s">
        <v>792</v>
      </c>
      <c r="BD386" s="264" t="s">
        <v>792</v>
      </c>
      <c r="BE386" s="264" t="s">
        <v>792</v>
      </c>
      <c r="BF386" s="264" t="s">
        <v>792</v>
      </c>
    </row>
    <row r="387" spans="1:58" x14ac:dyDescent="0.3">
      <c r="A387" s="263" t="s">
        <v>1089</v>
      </c>
      <c r="B387" s="264" t="s">
        <v>792</v>
      </c>
      <c r="C387" s="264" t="s">
        <v>792</v>
      </c>
      <c r="D387" s="264" t="s">
        <v>792</v>
      </c>
      <c r="E387" s="264" t="s">
        <v>792</v>
      </c>
      <c r="F387" s="264" t="s">
        <v>792</v>
      </c>
      <c r="G387" s="264" t="s">
        <v>792</v>
      </c>
      <c r="H387" s="264" t="s">
        <v>792</v>
      </c>
      <c r="I387" s="264" t="s">
        <v>792</v>
      </c>
      <c r="J387" s="264" t="s">
        <v>792</v>
      </c>
      <c r="K387" s="264" t="s">
        <v>792</v>
      </c>
      <c r="L387" s="264" t="s">
        <v>792</v>
      </c>
      <c r="M387" s="264" t="s">
        <v>792</v>
      </c>
      <c r="N387" s="264" t="s">
        <v>792</v>
      </c>
      <c r="O387" s="264" t="s">
        <v>792</v>
      </c>
      <c r="P387" s="264" t="s">
        <v>792</v>
      </c>
      <c r="Q387" s="264" t="s">
        <v>792</v>
      </c>
      <c r="R387" s="264" t="s">
        <v>792</v>
      </c>
      <c r="S387" s="264" t="s">
        <v>792</v>
      </c>
      <c r="T387" s="264" t="s">
        <v>792</v>
      </c>
      <c r="U387" s="264" t="s">
        <v>792</v>
      </c>
      <c r="V387" s="264" t="s">
        <v>792</v>
      </c>
      <c r="W387" s="264" t="s">
        <v>792</v>
      </c>
      <c r="X387" s="264" t="s">
        <v>792</v>
      </c>
      <c r="Y387" s="264" t="s">
        <v>792</v>
      </c>
      <c r="Z387" s="264" t="s">
        <v>792</v>
      </c>
      <c r="AA387" s="264" t="s">
        <v>792</v>
      </c>
      <c r="AB387" s="264" t="s">
        <v>792</v>
      </c>
      <c r="AC387" s="264" t="s">
        <v>792</v>
      </c>
      <c r="AD387" s="264" t="s">
        <v>792</v>
      </c>
      <c r="AE387" s="264" t="s">
        <v>792</v>
      </c>
      <c r="AF387" s="264" t="s">
        <v>792</v>
      </c>
      <c r="AG387" s="264" t="s">
        <v>792</v>
      </c>
      <c r="AH387" s="264" t="s">
        <v>792</v>
      </c>
      <c r="AI387" s="264" t="s">
        <v>792</v>
      </c>
      <c r="AJ387" s="264" t="s">
        <v>792</v>
      </c>
      <c r="AK387" s="264" t="s">
        <v>792</v>
      </c>
      <c r="AL387" s="264" t="s">
        <v>792</v>
      </c>
      <c r="AM387" s="264" t="s">
        <v>792</v>
      </c>
      <c r="AN387" s="264" t="s">
        <v>792</v>
      </c>
      <c r="AO387" s="264" t="s">
        <v>792</v>
      </c>
      <c r="AP387" s="264" t="s">
        <v>792</v>
      </c>
      <c r="AQ387" s="264" t="s">
        <v>792</v>
      </c>
      <c r="AR387" s="264" t="s">
        <v>792</v>
      </c>
      <c r="AS387" s="264" t="s">
        <v>792</v>
      </c>
      <c r="AT387" s="264" t="s">
        <v>792</v>
      </c>
      <c r="AU387" s="264" t="s">
        <v>792</v>
      </c>
      <c r="AV387" s="264" t="s">
        <v>792</v>
      </c>
      <c r="AW387" s="264" t="s">
        <v>792</v>
      </c>
      <c r="AX387" s="264" t="s">
        <v>792</v>
      </c>
      <c r="AY387" s="264" t="s">
        <v>792</v>
      </c>
      <c r="AZ387" s="264" t="s">
        <v>792</v>
      </c>
      <c r="BA387" s="264" t="s">
        <v>792</v>
      </c>
      <c r="BB387" s="264" t="s">
        <v>792</v>
      </c>
      <c r="BC387" s="264" t="s">
        <v>792</v>
      </c>
      <c r="BD387" s="264" t="s">
        <v>792</v>
      </c>
      <c r="BE387" s="264" t="s">
        <v>792</v>
      </c>
      <c r="BF387" s="264" t="s">
        <v>792</v>
      </c>
    </row>
    <row r="388" spans="1:58" x14ac:dyDescent="0.3">
      <c r="A388" s="263" t="s">
        <v>1090</v>
      </c>
      <c r="B388" s="264" t="s">
        <v>792</v>
      </c>
      <c r="C388" s="264" t="s">
        <v>792</v>
      </c>
      <c r="D388" s="264" t="s">
        <v>792</v>
      </c>
      <c r="E388" s="264" t="s">
        <v>792</v>
      </c>
      <c r="F388" s="264" t="s">
        <v>792</v>
      </c>
      <c r="G388" s="264" t="s">
        <v>792</v>
      </c>
      <c r="H388" s="264" t="s">
        <v>792</v>
      </c>
      <c r="I388" s="264" t="s">
        <v>792</v>
      </c>
      <c r="J388" s="264" t="s">
        <v>792</v>
      </c>
      <c r="K388" s="264" t="s">
        <v>792</v>
      </c>
      <c r="L388" s="264" t="s">
        <v>792</v>
      </c>
      <c r="M388" s="264" t="s">
        <v>792</v>
      </c>
      <c r="N388" s="264" t="s">
        <v>792</v>
      </c>
      <c r="O388" s="264" t="s">
        <v>792</v>
      </c>
      <c r="P388" s="264" t="s">
        <v>792</v>
      </c>
      <c r="Q388" s="264" t="s">
        <v>792</v>
      </c>
      <c r="R388" s="264" t="s">
        <v>792</v>
      </c>
      <c r="S388" s="264" t="s">
        <v>792</v>
      </c>
      <c r="T388" s="264" t="s">
        <v>792</v>
      </c>
      <c r="U388" s="264" t="s">
        <v>792</v>
      </c>
      <c r="V388" s="264" t="s">
        <v>792</v>
      </c>
      <c r="W388" s="264" t="s">
        <v>792</v>
      </c>
      <c r="X388" s="264" t="s">
        <v>792</v>
      </c>
      <c r="Y388" s="264" t="s">
        <v>792</v>
      </c>
      <c r="Z388" s="264" t="s">
        <v>792</v>
      </c>
      <c r="AA388" s="264" t="s">
        <v>792</v>
      </c>
      <c r="AB388" s="264" t="s">
        <v>792</v>
      </c>
      <c r="AC388" s="264" t="s">
        <v>792</v>
      </c>
      <c r="AD388" s="264" t="s">
        <v>792</v>
      </c>
      <c r="AE388" s="264" t="s">
        <v>792</v>
      </c>
      <c r="AF388" s="264" t="s">
        <v>792</v>
      </c>
      <c r="AG388" s="264" t="s">
        <v>792</v>
      </c>
      <c r="AH388" s="264" t="s">
        <v>792</v>
      </c>
      <c r="AI388" s="264" t="s">
        <v>792</v>
      </c>
      <c r="AJ388" s="264" t="s">
        <v>792</v>
      </c>
      <c r="AK388" s="264" t="s">
        <v>792</v>
      </c>
      <c r="AL388" s="264" t="s">
        <v>792</v>
      </c>
      <c r="AM388" s="264" t="s">
        <v>792</v>
      </c>
      <c r="AN388" s="264" t="s">
        <v>792</v>
      </c>
      <c r="AO388" s="264" t="s">
        <v>792</v>
      </c>
      <c r="AP388" s="264" t="s">
        <v>792</v>
      </c>
      <c r="AQ388" s="264" t="s">
        <v>792</v>
      </c>
      <c r="AR388" s="264" t="s">
        <v>792</v>
      </c>
      <c r="AS388" s="264" t="s">
        <v>792</v>
      </c>
      <c r="AT388" s="264" t="s">
        <v>792</v>
      </c>
      <c r="AU388" s="264" t="s">
        <v>792</v>
      </c>
      <c r="AV388" s="264" t="s">
        <v>792</v>
      </c>
      <c r="AW388" s="264" t="s">
        <v>792</v>
      </c>
      <c r="AX388" s="264" t="s">
        <v>792</v>
      </c>
      <c r="AY388" s="264" t="s">
        <v>792</v>
      </c>
      <c r="AZ388" s="264" t="s">
        <v>792</v>
      </c>
      <c r="BA388" s="264" t="s">
        <v>792</v>
      </c>
      <c r="BB388" s="264" t="s">
        <v>792</v>
      </c>
      <c r="BC388" s="264" t="s">
        <v>792</v>
      </c>
      <c r="BD388" s="264" t="s">
        <v>792</v>
      </c>
      <c r="BE388" s="264" t="s">
        <v>792</v>
      </c>
      <c r="BF388" s="264" t="s">
        <v>792</v>
      </c>
    </row>
    <row r="389" spans="1:58" x14ac:dyDescent="0.3">
      <c r="A389" s="263" t="s">
        <v>1091</v>
      </c>
      <c r="B389" s="264" t="s">
        <v>792</v>
      </c>
      <c r="C389" s="264" t="s">
        <v>792</v>
      </c>
      <c r="D389" s="264" t="s">
        <v>792</v>
      </c>
      <c r="E389" s="264" t="s">
        <v>792</v>
      </c>
      <c r="F389" s="264" t="s">
        <v>792</v>
      </c>
      <c r="G389" s="264" t="s">
        <v>792</v>
      </c>
      <c r="H389" s="264" t="s">
        <v>792</v>
      </c>
      <c r="I389" s="264" t="s">
        <v>792</v>
      </c>
      <c r="J389" s="264" t="s">
        <v>792</v>
      </c>
      <c r="K389" s="264" t="s">
        <v>792</v>
      </c>
      <c r="L389" s="264" t="s">
        <v>792</v>
      </c>
      <c r="M389" s="264" t="s">
        <v>792</v>
      </c>
      <c r="N389" s="264" t="s">
        <v>792</v>
      </c>
      <c r="O389" s="264" t="s">
        <v>792</v>
      </c>
      <c r="P389" s="264" t="s">
        <v>792</v>
      </c>
      <c r="Q389" s="264" t="s">
        <v>792</v>
      </c>
      <c r="R389" s="264" t="s">
        <v>792</v>
      </c>
      <c r="S389" s="264" t="s">
        <v>792</v>
      </c>
      <c r="T389" s="264" t="s">
        <v>792</v>
      </c>
      <c r="U389" s="264" t="s">
        <v>792</v>
      </c>
      <c r="V389" s="264" t="s">
        <v>792</v>
      </c>
      <c r="W389" s="264" t="s">
        <v>792</v>
      </c>
      <c r="X389" s="264" t="s">
        <v>792</v>
      </c>
      <c r="Y389" s="264" t="s">
        <v>792</v>
      </c>
      <c r="Z389" s="264" t="s">
        <v>792</v>
      </c>
      <c r="AA389" s="264" t="s">
        <v>792</v>
      </c>
      <c r="AB389" s="264" t="s">
        <v>792</v>
      </c>
      <c r="AC389" s="264" t="s">
        <v>792</v>
      </c>
      <c r="AD389" s="264" t="s">
        <v>792</v>
      </c>
      <c r="AE389" s="264" t="s">
        <v>792</v>
      </c>
      <c r="AF389" s="264" t="s">
        <v>792</v>
      </c>
      <c r="AG389" s="264" t="s">
        <v>792</v>
      </c>
      <c r="AH389" s="264" t="s">
        <v>792</v>
      </c>
      <c r="AI389" s="264" t="s">
        <v>792</v>
      </c>
      <c r="AJ389" s="264" t="s">
        <v>792</v>
      </c>
      <c r="AK389" s="264" t="s">
        <v>792</v>
      </c>
      <c r="AL389" s="264" t="s">
        <v>792</v>
      </c>
      <c r="AM389" s="264" t="s">
        <v>792</v>
      </c>
      <c r="AN389" s="264" t="s">
        <v>792</v>
      </c>
      <c r="AO389" s="264" t="s">
        <v>792</v>
      </c>
      <c r="AP389" s="264" t="s">
        <v>792</v>
      </c>
      <c r="AQ389" s="264" t="s">
        <v>792</v>
      </c>
      <c r="AR389" s="264" t="s">
        <v>792</v>
      </c>
      <c r="AS389" s="264" t="s">
        <v>792</v>
      </c>
      <c r="AT389" s="264" t="s">
        <v>792</v>
      </c>
      <c r="AU389" s="264" t="s">
        <v>792</v>
      </c>
      <c r="AV389" s="264" t="s">
        <v>792</v>
      </c>
      <c r="AW389" s="264" t="s">
        <v>792</v>
      </c>
      <c r="AX389" s="264" t="s">
        <v>792</v>
      </c>
      <c r="AY389" s="264" t="s">
        <v>792</v>
      </c>
      <c r="AZ389" s="264" t="s">
        <v>792</v>
      </c>
      <c r="BA389" s="264" t="s">
        <v>792</v>
      </c>
      <c r="BB389" s="264" t="s">
        <v>792</v>
      </c>
      <c r="BC389" s="264" t="s">
        <v>792</v>
      </c>
      <c r="BD389" s="264" t="s">
        <v>792</v>
      </c>
      <c r="BE389" s="264" t="s">
        <v>792</v>
      </c>
      <c r="BF389" s="264" t="s">
        <v>792</v>
      </c>
    </row>
    <row r="390" spans="1:58" x14ac:dyDescent="0.3">
      <c r="A390" s="263" t="s">
        <v>1092</v>
      </c>
      <c r="B390" s="264" t="s">
        <v>792</v>
      </c>
      <c r="C390" s="264" t="s">
        <v>792</v>
      </c>
      <c r="D390" s="264" t="s">
        <v>792</v>
      </c>
      <c r="E390" s="264" t="s">
        <v>792</v>
      </c>
      <c r="F390" s="264" t="s">
        <v>792</v>
      </c>
      <c r="G390" s="264" t="s">
        <v>792</v>
      </c>
      <c r="H390" s="264" t="s">
        <v>792</v>
      </c>
      <c r="I390" s="264" t="s">
        <v>792</v>
      </c>
      <c r="J390" s="264" t="s">
        <v>792</v>
      </c>
      <c r="K390" s="264" t="s">
        <v>792</v>
      </c>
      <c r="L390" s="264" t="s">
        <v>792</v>
      </c>
      <c r="M390" s="264" t="s">
        <v>792</v>
      </c>
      <c r="N390" s="264" t="s">
        <v>792</v>
      </c>
      <c r="O390" s="264" t="s">
        <v>792</v>
      </c>
      <c r="P390" s="264" t="s">
        <v>792</v>
      </c>
      <c r="Q390" s="264" t="s">
        <v>792</v>
      </c>
      <c r="R390" s="264" t="s">
        <v>792</v>
      </c>
      <c r="S390" s="264" t="s">
        <v>792</v>
      </c>
      <c r="T390" s="264" t="s">
        <v>792</v>
      </c>
      <c r="U390" s="264" t="s">
        <v>792</v>
      </c>
      <c r="V390" s="264" t="s">
        <v>792</v>
      </c>
      <c r="W390" s="264" t="s">
        <v>792</v>
      </c>
      <c r="X390" s="264" t="s">
        <v>792</v>
      </c>
      <c r="Y390" s="264" t="s">
        <v>792</v>
      </c>
      <c r="Z390" s="264" t="s">
        <v>792</v>
      </c>
      <c r="AA390" s="264" t="s">
        <v>792</v>
      </c>
      <c r="AB390" s="264" t="s">
        <v>792</v>
      </c>
      <c r="AC390" s="264" t="s">
        <v>792</v>
      </c>
      <c r="AD390" s="264" t="s">
        <v>792</v>
      </c>
      <c r="AE390" s="264" t="s">
        <v>792</v>
      </c>
      <c r="AF390" s="264" t="s">
        <v>792</v>
      </c>
      <c r="AG390" s="264" t="s">
        <v>792</v>
      </c>
      <c r="AH390" s="264" t="s">
        <v>792</v>
      </c>
      <c r="AI390" s="264" t="s">
        <v>792</v>
      </c>
      <c r="AJ390" s="264" t="s">
        <v>792</v>
      </c>
      <c r="AK390" s="264" t="s">
        <v>792</v>
      </c>
      <c r="AL390" s="264" t="s">
        <v>792</v>
      </c>
      <c r="AM390" s="264" t="s">
        <v>792</v>
      </c>
      <c r="AN390" s="264" t="s">
        <v>792</v>
      </c>
      <c r="AO390" s="264" t="s">
        <v>792</v>
      </c>
      <c r="AP390" s="264" t="s">
        <v>792</v>
      </c>
      <c r="AQ390" s="264" t="s">
        <v>792</v>
      </c>
      <c r="AR390" s="264" t="s">
        <v>792</v>
      </c>
      <c r="AS390" s="264" t="s">
        <v>792</v>
      </c>
      <c r="AT390" s="264" t="s">
        <v>792</v>
      </c>
      <c r="AU390" s="264" t="s">
        <v>792</v>
      </c>
      <c r="AV390" s="264" t="s">
        <v>792</v>
      </c>
      <c r="AW390" s="264" t="s">
        <v>792</v>
      </c>
      <c r="AX390" s="264" t="s">
        <v>792</v>
      </c>
      <c r="AY390" s="264" t="s">
        <v>792</v>
      </c>
      <c r="AZ390" s="264" t="s">
        <v>792</v>
      </c>
      <c r="BA390" s="264" t="s">
        <v>792</v>
      </c>
      <c r="BB390" s="264" t="s">
        <v>792</v>
      </c>
      <c r="BC390" s="264" t="s">
        <v>792</v>
      </c>
      <c r="BD390" s="264" t="s">
        <v>792</v>
      </c>
      <c r="BE390" s="264" t="s">
        <v>792</v>
      </c>
      <c r="BF390" s="264" t="s">
        <v>792</v>
      </c>
    </row>
    <row r="391" spans="1:58" x14ac:dyDescent="0.3">
      <c r="A391" s="263" t="s">
        <v>1093</v>
      </c>
      <c r="B391" s="264" t="s">
        <v>792</v>
      </c>
      <c r="C391" s="264" t="s">
        <v>792</v>
      </c>
      <c r="D391" s="264" t="s">
        <v>792</v>
      </c>
      <c r="E391" s="264" t="s">
        <v>792</v>
      </c>
      <c r="F391" s="264" t="s">
        <v>792</v>
      </c>
      <c r="G391" s="264" t="s">
        <v>792</v>
      </c>
      <c r="H391" s="264" t="s">
        <v>792</v>
      </c>
      <c r="I391" s="264" t="s">
        <v>792</v>
      </c>
      <c r="J391" s="264" t="s">
        <v>792</v>
      </c>
      <c r="K391" s="264" t="s">
        <v>792</v>
      </c>
      <c r="L391" s="264" t="s">
        <v>792</v>
      </c>
      <c r="M391" s="264" t="s">
        <v>792</v>
      </c>
      <c r="N391" s="264" t="s">
        <v>792</v>
      </c>
      <c r="O391" s="264" t="s">
        <v>792</v>
      </c>
      <c r="P391" s="264" t="s">
        <v>792</v>
      </c>
      <c r="Q391" s="264" t="s">
        <v>792</v>
      </c>
      <c r="R391" s="264" t="s">
        <v>792</v>
      </c>
      <c r="S391" s="264" t="s">
        <v>792</v>
      </c>
      <c r="T391" s="264" t="s">
        <v>792</v>
      </c>
      <c r="U391" s="264" t="s">
        <v>792</v>
      </c>
      <c r="V391" s="264" t="s">
        <v>792</v>
      </c>
      <c r="W391" s="264" t="s">
        <v>792</v>
      </c>
      <c r="X391" s="264" t="s">
        <v>792</v>
      </c>
      <c r="Y391" s="264" t="s">
        <v>792</v>
      </c>
      <c r="Z391" s="264" t="s">
        <v>792</v>
      </c>
      <c r="AA391" s="264" t="s">
        <v>792</v>
      </c>
      <c r="AB391" s="264" t="s">
        <v>792</v>
      </c>
      <c r="AC391" s="264" t="s">
        <v>792</v>
      </c>
      <c r="AD391" s="264" t="s">
        <v>792</v>
      </c>
      <c r="AE391" s="264" t="s">
        <v>792</v>
      </c>
      <c r="AF391" s="264" t="s">
        <v>792</v>
      </c>
      <c r="AG391" s="264" t="s">
        <v>792</v>
      </c>
      <c r="AH391" s="264" t="s">
        <v>792</v>
      </c>
      <c r="AI391" s="264" t="s">
        <v>792</v>
      </c>
      <c r="AJ391" s="264" t="s">
        <v>792</v>
      </c>
      <c r="AK391" s="264" t="s">
        <v>792</v>
      </c>
      <c r="AL391" s="264" t="s">
        <v>792</v>
      </c>
      <c r="AM391" s="264" t="s">
        <v>792</v>
      </c>
      <c r="AN391" s="264" t="s">
        <v>792</v>
      </c>
      <c r="AO391" s="264" t="s">
        <v>792</v>
      </c>
      <c r="AP391" s="264" t="s">
        <v>792</v>
      </c>
      <c r="AQ391" s="264" t="s">
        <v>792</v>
      </c>
      <c r="AR391" s="264" t="s">
        <v>792</v>
      </c>
      <c r="AS391" s="264" t="s">
        <v>792</v>
      </c>
      <c r="AT391" s="264" t="s">
        <v>792</v>
      </c>
      <c r="AU391" s="264" t="s">
        <v>792</v>
      </c>
      <c r="AV391" s="264" t="s">
        <v>792</v>
      </c>
      <c r="AW391" s="264" t="s">
        <v>792</v>
      </c>
      <c r="AX391" s="264" t="s">
        <v>792</v>
      </c>
      <c r="AY391" s="264" t="s">
        <v>792</v>
      </c>
      <c r="AZ391" s="264" t="s">
        <v>792</v>
      </c>
      <c r="BA391" s="264" t="s">
        <v>792</v>
      </c>
      <c r="BB391" s="264" t="s">
        <v>792</v>
      </c>
      <c r="BC391" s="264" t="s">
        <v>792</v>
      </c>
      <c r="BD391" s="264" t="s">
        <v>792</v>
      </c>
      <c r="BE391" s="264" t="s">
        <v>792</v>
      </c>
      <c r="BF391" s="264" t="s">
        <v>792</v>
      </c>
    </row>
    <row r="392" spans="1:58" x14ac:dyDescent="0.3">
      <c r="A392" s="263" t="s">
        <v>1094</v>
      </c>
      <c r="B392" s="264" t="s">
        <v>792</v>
      </c>
      <c r="C392" s="264" t="s">
        <v>792</v>
      </c>
      <c r="D392" s="264" t="s">
        <v>792</v>
      </c>
      <c r="E392" s="264" t="s">
        <v>792</v>
      </c>
      <c r="F392" s="264" t="s">
        <v>792</v>
      </c>
      <c r="G392" s="264" t="s">
        <v>792</v>
      </c>
      <c r="H392" s="264" t="s">
        <v>792</v>
      </c>
      <c r="I392" s="264" t="s">
        <v>792</v>
      </c>
      <c r="J392" s="264" t="s">
        <v>792</v>
      </c>
      <c r="K392" s="264" t="s">
        <v>792</v>
      </c>
      <c r="L392" s="264" t="s">
        <v>792</v>
      </c>
      <c r="M392" s="264" t="s">
        <v>792</v>
      </c>
      <c r="N392" s="264" t="s">
        <v>792</v>
      </c>
      <c r="O392" s="264" t="s">
        <v>792</v>
      </c>
      <c r="P392" s="264" t="s">
        <v>792</v>
      </c>
      <c r="Q392" s="264" t="s">
        <v>792</v>
      </c>
      <c r="R392" s="264" t="s">
        <v>792</v>
      </c>
      <c r="S392" s="264" t="s">
        <v>792</v>
      </c>
      <c r="T392" s="264" t="s">
        <v>792</v>
      </c>
      <c r="U392" s="264" t="s">
        <v>792</v>
      </c>
      <c r="V392" s="264" t="s">
        <v>792</v>
      </c>
      <c r="W392" s="264" t="s">
        <v>792</v>
      </c>
      <c r="X392" s="264" t="s">
        <v>792</v>
      </c>
      <c r="Y392" s="264" t="s">
        <v>792</v>
      </c>
      <c r="Z392" s="264" t="s">
        <v>792</v>
      </c>
      <c r="AA392" s="264" t="s">
        <v>792</v>
      </c>
      <c r="AB392" s="264" t="s">
        <v>792</v>
      </c>
      <c r="AC392" s="264" t="s">
        <v>792</v>
      </c>
      <c r="AD392" s="264" t="s">
        <v>792</v>
      </c>
      <c r="AE392" s="264" t="s">
        <v>792</v>
      </c>
      <c r="AF392" s="264" t="s">
        <v>792</v>
      </c>
      <c r="AG392" s="264" t="s">
        <v>792</v>
      </c>
      <c r="AH392" s="264" t="s">
        <v>792</v>
      </c>
      <c r="AI392" s="264" t="s">
        <v>792</v>
      </c>
      <c r="AJ392" s="264" t="s">
        <v>792</v>
      </c>
      <c r="AK392" s="264" t="s">
        <v>792</v>
      </c>
      <c r="AL392" s="264" t="s">
        <v>792</v>
      </c>
      <c r="AM392" s="264" t="s">
        <v>792</v>
      </c>
      <c r="AN392" s="264" t="s">
        <v>792</v>
      </c>
      <c r="AO392" s="264" t="s">
        <v>792</v>
      </c>
      <c r="AP392" s="264" t="s">
        <v>792</v>
      </c>
      <c r="AQ392" s="264" t="s">
        <v>792</v>
      </c>
      <c r="AR392" s="264" t="s">
        <v>792</v>
      </c>
      <c r="AS392" s="264" t="s">
        <v>792</v>
      </c>
      <c r="AT392" s="264" t="s">
        <v>792</v>
      </c>
      <c r="AU392" s="264" t="s">
        <v>792</v>
      </c>
      <c r="AV392" s="264" t="s">
        <v>792</v>
      </c>
      <c r="AW392" s="264" t="s">
        <v>792</v>
      </c>
      <c r="AX392" s="264" t="s">
        <v>792</v>
      </c>
      <c r="AY392" s="264" t="s">
        <v>792</v>
      </c>
      <c r="AZ392" s="264" t="s">
        <v>792</v>
      </c>
      <c r="BA392" s="264" t="s">
        <v>792</v>
      </c>
      <c r="BB392" s="264" t="s">
        <v>792</v>
      </c>
      <c r="BC392" s="264" t="s">
        <v>792</v>
      </c>
      <c r="BD392" s="264" t="s">
        <v>792</v>
      </c>
      <c r="BE392" s="264" t="s">
        <v>792</v>
      </c>
      <c r="BF392" s="264" t="s">
        <v>792</v>
      </c>
    </row>
    <row r="393" spans="1:58" x14ac:dyDescent="0.3">
      <c r="A393" s="263" t="s">
        <v>1095</v>
      </c>
      <c r="B393" s="264" t="s">
        <v>792</v>
      </c>
      <c r="C393" s="264" t="s">
        <v>792</v>
      </c>
      <c r="D393" s="264" t="s">
        <v>792</v>
      </c>
      <c r="E393" s="264" t="s">
        <v>792</v>
      </c>
      <c r="F393" s="264" t="s">
        <v>792</v>
      </c>
      <c r="G393" s="264" t="s">
        <v>792</v>
      </c>
      <c r="H393" s="264" t="s">
        <v>792</v>
      </c>
      <c r="I393" s="264" t="s">
        <v>792</v>
      </c>
      <c r="J393" s="264" t="s">
        <v>792</v>
      </c>
      <c r="K393" s="264" t="s">
        <v>792</v>
      </c>
      <c r="L393" s="264" t="s">
        <v>792</v>
      </c>
      <c r="M393" s="264" t="s">
        <v>792</v>
      </c>
      <c r="N393" s="264" t="s">
        <v>792</v>
      </c>
      <c r="O393" s="264" t="s">
        <v>792</v>
      </c>
      <c r="P393" s="264" t="s">
        <v>792</v>
      </c>
      <c r="Q393" s="264" t="s">
        <v>792</v>
      </c>
      <c r="R393" s="264" t="s">
        <v>792</v>
      </c>
      <c r="S393" s="264" t="s">
        <v>792</v>
      </c>
      <c r="T393" s="264" t="s">
        <v>792</v>
      </c>
      <c r="U393" s="264" t="s">
        <v>792</v>
      </c>
      <c r="V393" s="264" t="s">
        <v>792</v>
      </c>
      <c r="W393" s="264" t="s">
        <v>792</v>
      </c>
      <c r="X393" s="264" t="s">
        <v>792</v>
      </c>
      <c r="Y393" s="264" t="s">
        <v>792</v>
      </c>
      <c r="Z393" s="264" t="s">
        <v>792</v>
      </c>
      <c r="AA393" s="264" t="s">
        <v>792</v>
      </c>
      <c r="AB393" s="264" t="s">
        <v>792</v>
      </c>
      <c r="AC393" s="264" t="s">
        <v>792</v>
      </c>
      <c r="AD393" s="264" t="s">
        <v>792</v>
      </c>
      <c r="AE393" s="264" t="s">
        <v>792</v>
      </c>
      <c r="AF393" s="264" t="s">
        <v>792</v>
      </c>
      <c r="AG393" s="264" t="s">
        <v>792</v>
      </c>
      <c r="AH393" s="264" t="s">
        <v>792</v>
      </c>
      <c r="AI393" s="264" t="s">
        <v>792</v>
      </c>
      <c r="AJ393" s="264" t="s">
        <v>792</v>
      </c>
      <c r="AK393" s="264" t="s">
        <v>792</v>
      </c>
      <c r="AL393" s="264" t="s">
        <v>792</v>
      </c>
      <c r="AM393" s="264" t="s">
        <v>792</v>
      </c>
      <c r="AN393" s="264" t="s">
        <v>792</v>
      </c>
      <c r="AO393" s="264" t="s">
        <v>792</v>
      </c>
      <c r="AP393" s="264" t="s">
        <v>792</v>
      </c>
      <c r="AQ393" s="264" t="s">
        <v>792</v>
      </c>
      <c r="AR393" s="264" t="s">
        <v>792</v>
      </c>
      <c r="AS393" s="264" t="s">
        <v>792</v>
      </c>
      <c r="AT393" s="264" t="s">
        <v>792</v>
      </c>
      <c r="AU393" s="264" t="s">
        <v>792</v>
      </c>
      <c r="AV393" s="264" t="s">
        <v>792</v>
      </c>
      <c r="AW393" s="264" t="s">
        <v>792</v>
      </c>
      <c r="AX393" s="264" t="s">
        <v>792</v>
      </c>
      <c r="AY393" s="264" t="s">
        <v>792</v>
      </c>
      <c r="AZ393" s="264" t="s">
        <v>792</v>
      </c>
      <c r="BA393" s="264" t="s">
        <v>792</v>
      </c>
      <c r="BB393" s="264" t="s">
        <v>792</v>
      </c>
      <c r="BC393" s="264" t="s">
        <v>792</v>
      </c>
      <c r="BD393" s="264" t="s">
        <v>792</v>
      </c>
      <c r="BE393" s="264" t="s">
        <v>792</v>
      </c>
      <c r="BF393" s="264" t="s">
        <v>792</v>
      </c>
    </row>
    <row r="394" spans="1:58" x14ac:dyDescent="0.3">
      <c r="A394" s="263" t="s">
        <v>1096</v>
      </c>
      <c r="B394" s="264" t="s">
        <v>792</v>
      </c>
      <c r="C394" s="264" t="s">
        <v>792</v>
      </c>
      <c r="D394" s="264" t="s">
        <v>792</v>
      </c>
      <c r="E394" s="264" t="s">
        <v>792</v>
      </c>
      <c r="F394" s="264" t="s">
        <v>792</v>
      </c>
      <c r="G394" s="264" t="s">
        <v>792</v>
      </c>
      <c r="H394" s="264" t="s">
        <v>792</v>
      </c>
      <c r="I394" s="264" t="s">
        <v>792</v>
      </c>
      <c r="J394" s="264" t="s">
        <v>792</v>
      </c>
      <c r="K394" s="264" t="s">
        <v>792</v>
      </c>
      <c r="L394" s="264" t="s">
        <v>792</v>
      </c>
      <c r="M394" s="264" t="s">
        <v>792</v>
      </c>
      <c r="N394" s="264" t="s">
        <v>792</v>
      </c>
      <c r="O394" s="264" t="s">
        <v>792</v>
      </c>
      <c r="P394" s="264" t="s">
        <v>792</v>
      </c>
      <c r="Q394" s="264" t="s">
        <v>792</v>
      </c>
      <c r="R394" s="264" t="s">
        <v>792</v>
      </c>
      <c r="S394" s="264" t="s">
        <v>792</v>
      </c>
      <c r="T394" s="264" t="s">
        <v>792</v>
      </c>
      <c r="U394" s="264" t="s">
        <v>792</v>
      </c>
      <c r="V394" s="264" t="s">
        <v>792</v>
      </c>
      <c r="W394" s="264" t="s">
        <v>792</v>
      </c>
      <c r="X394" s="264" t="s">
        <v>792</v>
      </c>
      <c r="Y394" s="264" t="s">
        <v>792</v>
      </c>
      <c r="Z394" s="264" t="s">
        <v>792</v>
      </c>
      <c r="AA394" s="264" t="s">
        <v>792</v>
      </c>
      <c r="AB394" s="264" t="s">
        <v>792</v>
      </c>
      <c r="AC394" s="264" t="s">
        <v>792</v>
      </c>
      <c r="AD394" s="264" t="s">
        <v>792</v>
      </c>
      <c r="AE394" s="264" t="s">
        <v>792</v>
      </c>
      <c r="AF394" s="264" t="s">
        <v>792</v>
      </c>
      <c r="AG394" s="264" t="s">
        <v>792</v>
      </c>
      <c r="AH394" s="264" t="s">
        <v>792</v>
      </c>
      <c r="AI394" s="264" t="s">
        <v>792</v>
      </c>
      <c r="AJ394" s="264" t="s">
        <v>792</v>
      </c>
      <c r="AK394" s="264" t="s">
        <v>792</v>
      </c>
      <c r="AL394" s="264" t="s">
        <v>792</v>
      </c>
      <c r="AM394" s="264" t="s">
        <v>792</v>
      </c>
      <c r="AN394" s="264" t="s">
        <v>792</v>
      </c>
      <c r="AO394" s="264" t="s">
        <v>792</v>
      </c>
      <c r="AP394" s="264" t="s">
        <v>792</v>
      </c>
      <c r="AQ394" s="264" t="s">
        <v>792</v>
      </c>
      <c r="AR394" s="264" t="s">
        <v>792</v>
      </c>
      <c r="AS394" s="264" t="s">
        <v>792</v>
      </c>
      <c r="AT394" s="264" t="s">
        <v>792</v>
      </c>
      <c r="AU394" s="264" t="s">
        <v>792</v>
      </c>
      <c r="AV394" s="264" t="s">
        <v>792</v>
      </c>
      <c r="AW394" s="264" t="s">
        <v>792</v>
      </c>
      <c r="AX394" s="264" t="s">
        <v>792</v>
      </c>
      <c r="AY394" s="264" t="s">
        <v>792</v>
      </c>
      <c r="AZ394" s="264" t="s">
        <v>792</v>
      </c>
      <c r="BA394" s="264" t="s">
        <v>792</v>
      </c>
      <c r="BB394" s="264" t="s">
        <v>792</v>
      </c>
      <c r="BC394" s="264" t="s">
        <v>792</v>
      </c>
      <c r="BD394" s="264" t="s">
        <v>792</v>
      </c>
      <c r="BE394" s="264" t="s">
        <v>792</v>
      </c>
      <c r="BF394" s="264" t="s">
        <v>792</v>
      </c>
    </row>
    <row r="395" spans="1:58" x14ac:dyDescent="0.3">
      <c r="A395" s="258" t="s">
        <v>1097</v>
      </c>
      <c r="B395" s="264" t="s">
        <v>792</v>
      </c>
      <c r="C395" s="264" t="s">
        <v>792</v>
      </c>
      <c r="D395" s="264" t="s">
        <v>792</v>
      </c>
      <c r="E395" s="264" t="s">
        <v>792</v>
      </c>
      <c r="F395" s="264" t="s">
        <v>792</v>
      </c>
      <c r="G395" s="264" t="s">
        <v>792</v>
      </c>
      <c r="H395" s="264" t="s">
        <v>792</v>
      </c>
      <c r="I395" s="264" t="s">
        <v>792</v>
      </c>
      <c r="J395" s="264" t="s">
        <v>792</v>
      </c>
      <c r="K395" s="264" t="s">
        <v>792</v>
      </c>
      <c r="L395" s="264" t="s">
        <v>792</v>
      </c>
      <c r="M395" s="264" t="s">
        <v>792</v>
      </c>
      <c r="N395" s="264" t="s">
        <v>792</v>
      </c>
      <c r="O395" s="264" t="s">
        <v>792</v>
      </c>
      <c r="P395" s="264" t="s">
        <v>792</v>
      </c>
      <c r="Q395" s="264" t="s">
        <v>792</v>
      </c>
      <c r="R395" s="264" t="s">
        <v>792</v>
      </c>
      <c r="S395" s="264" t="s">
        <v>792</v>
      </c>
      <c r="T395" s="264" t="s">
        <v>792</v>
      </c>
      <c r="U395" s="264" t="s">
        <v>792</v>
      </c>
      <c r="V395" s="264" t="s">
        <v>792</v>
      </c>
      <c r="W395" s="264" t="s">
        <v>792</v>
      </c>
      <c r="X395" s="264" t="s">
        <v>792</v>
      </c>
      <c r="Y395" s="264" t="s">
        <v>792</v>
      </c>
      <c r="Z395" s="264" t="s">
        <v>792</v>
      </c>
      <c r="AA395" s="264" t="s">
        <v>792</v>
      </c>
      <c r="AB395" s="264" t="s">
        <v>792</v>
      </c>
      <c r="AC395" s="264" t="s">
        <v>792</v>
      </c>
      <c r="AD395" s="264" t="s">
        <v>792</v>
      </c>
      <c r="AE395" s="264" t="s">
        <v>792</v>
      </c>
      <c r="AF395" s="264" t="s">
        <v>792</v>
      </c>
      <c r="AG395" s="264" t="s">
        <v>792</v>
      </c>
      <c r="AH395" s="264" t="s">
        <v>792</v>
      </c>
      <c r="AI395" s="264" t="s">
        <v>792</v>
      </c>
      <c r="AJ395" s="264" t="s">
        <v>792</v>
      </c>
      <c r="AK395" s="264" t="s">
        <v>792</v>
      </c>
      <c r="AL395" s="264" t="s">
        <v>792</v>
      </c>
      <c r="AM395" s="264" t="s">
        <v>792</v>
      </c>
      <c r="AN395" s="264" t="s">
        <v>792</v>
      </c>
      <c r="AO395" s="264" t="s">
        <v>792</v>
      </c>
      <c r="AP395" s="264" t="s">
        <v>792</v>
      </c>
      <c r="AQ395" s="264" t="s">
        <v>792</v>
      </c>
      <c r="AR395" s="264" t="s">
        <v>792</v>
      </c>
      <c r="AS395" s="264" t="s">
        <v>792</v>
      </c>
      <c r="AT395" s="264" t="s">
        <v>792</v>
      </c>
      <c r="AU395" s="264" t="s">
        <v>792</v>
      </c>
      <c r="AV395" s="264" t="s">
        <v>792</v>
      </c>
      <c r="AW395" s="264" t="s">
        <v>792</v>
      </c>
      <c r="AX395" s="264" t="s">
        <v>792</v>
      </c>
      <c r="AY395" s="264" t="s">
        <v>792</v>
      </c>
      <c r="AZ395" s="264" t="s">
        <v>792</v>
      </c>
      <c r="BA395" s="264" t="s">
        <v>792</v>
      </c>
      <c r="BB395" s="264" t="s">
        <v>792</v>
      </c>
      <c r="BC395" s="264" t="s">
        <v>792</v>
      </c>
      <c r="BD395" s="264" t="s">
        <v>792</v>
      </c>
      <c r="BE395" s="264" t="s">
        <v>792</v>
      </c>
      <c r="BF395" s="264" t="s">
        <v>792</v>
      </c>
    </row>
    <row r="396" spans="1:58" x14ac:dyDescent="0.3">
      <c r="A396" s="258" t="s">
        <v>1098</v>
      </c>
      <c r="B396" s="264" t="s">
        <v>792</v>
      </c>
      <c r="C396" s="264" t="s">
        <v>792</v>
      </c>
      <c r="D396" s="264" t="s">
        <v>792</v>
      </c>
      <c r="E396" s="264" t="s">
        <v>792</v>
      </c>
      <c r="F396" s="264" t="s">
        <v>792</v>
      </c>
      <c r="G396" s="264" t="s">
        <v>792</v>
      </c>
      <c r="H396" s="264" t="s">
        <v>792</v>
      </c>
      <c r="I396" s="264" t="s">
        <v>792</v>
      </c>
      <c r="J396" s="264" t="s">
        <v>792</v>
      </c>
      <c r="K396" s="264" t="s">
        <v>792</v>
      </c>
      <c r="L396" s="264" t="s">
        <v>792</v>
      </c>
      <c r="M396" s="264" t="s">
        <v>792</v>
      </c>
      <c r="N396" s="264" t="s">
        <v>792</v>
      </c>
      <c r="O396" s="264" t="s">
        <v>792</v>
      </c>
      <c r="P396" s="264" t="s">
        <v>792</v>
      </c>
      <c r="Q396" s="264" t="s">
        <v>792</v>
      </c>
      <c r="R396" s="264" t="s">
        <v>792</v>
      </c>
      <c r="S396" s="264" t="s">
        <v>792</v>
      </c>
      <c r="T396" s="264" t="s">
        <v>792</v>
      </c>
      <c r="U396" s="264" t="s">
        <v>792</v>
      </c>
      <c r="V396" s="264" t="s">
        <v>792</v>
      </c>
      <c r="W396" s="264" t="s">
        <v>792</v>
      </c>
      <c r="X396" s="264" t="s">
        <v>792</v>
      </c>
      <c r="Y396" s="264" t="s">
        <v>792</v>
      </c>
      <c r="Z396" s="264" t="s">
        <v>792</v>
      </c>
      <c r="AA396" s="264" t="s">
        <v>792</v>
      </c>
      <c r="AB396" s="264" t="s">
        <v>792</v>
      </c>
      <c r="AC396" s="264" t="s">
        <v>792</v>
      </c>
      <c r="AD396" s="264" t="s">
        <v>792</v>
      </c>
      <c r="AE396" s="264" t="s">
        <v>792</v>
      </c>
      <c r="AF396" s="264" t="s">
        <v>792</v>
      </c>
      <c r="AG396" s="264" t="s">
        <v>792</v>
      </c>
      <c r="AH396" s="264" t="s">
        <v>792</v>
      </c>
      <c r="AI396" s="264" t="s">
        <v>792</v>
      </c>
      <c r="AJ396" s="264" t="s">
        <v>792</v>
      </c>
      <c r="AK396" s="264" t="s">
        <v>792</v>
      </c>
      <c r="AL396" s="264" t="s">
        <v>792</v>
      </c>
      <c r="AM396" s="264" t="s">
        <v>792</v>
      </c>
      <c r="AN396" s="264" t="s">
        <v>792</v>
      </c>
      <c r="AO396" s="264" t="s">
        <v>792</v>
      </c>
      <c r="AP396" s="264" t="s">
        <v>792</v>
      </c>
      <c r="AQ396" s="264" t="s">
        <v>792</v>
      </c>
      <c r="AR396" s="264" t="s">
        <v>792</v>
      </c>
      <c r="AS396" s="264" t="s">
        <v>792</v>
      </c>
      <c r="AT396" s="264" t="s">
        <v>792</v>
      </c>
      <c r="AU396" s="264" t="s">
        <v>792</v>
      </c>
      <c r="AV396" s="264" t="s">
        <v>792</v>
      </c>
      <c r="AW396" s="264" t="s">
        <v>792</v>
      </c>
      <c r="AX396" s="264" t="s">
        <v>792</v>
      </c>
      <c r="AY396" s="264" t="s">
        <v>792</v>
      </c>
      <c r="AZ396" s="264" t="s">
        <v>792</v>
      </c>
      <c r="BA396" s="264" t="s">
        <v>792</v>
      </c>
      <c r="BB396" s="264" t="s">
        <v>792</v>
      </c>
      <c r="BC396" s="264" t="s">
        <v>792</v>
      </c>
      <c r="BD396" s="264" t="s">
        <v>792</v>
      </c>
      <c r="BE396" s="264" t="s">
        <v>792</v>
      </c>
      <c r="BF396" s="264" t="s">
        <v>792</v>
      </c>
    </row>
    <row r="397" spans="1:58" x14ac:dyDescent="0.3">
      <c r="A397" s="260" t="s">
        <v>1099</v>
      </c>
      <c r="B397" s="261" t="s">
        <v>792</v>
      </c>
      <c r="C397" s="261" t="s">
        <v>792</v>
      </c>
      <c r="D397" s="261" t="s">
        <v>792</v>
      </c>
      <c r="E397" s="261" t="s">
        <v>792</v>
      </c>
      <c r="F397" s="261" t="s">
        <v>792</v>
      </c>
      <c r="G397" s="261" t="s">
        <v>792</v>
      </c>
      <c r="H397" s="261" t="s">
        <v>792</v>
      </c>
      <c r="I397" s="261" t="s">
        <v>792</v>
      </c>
      <c r="J397" s="261" t="s">
        <v>792</v>
      </c>
      <c r="K397" s="261" t="s">
        <v>792</v>
      </c>
      <c r="L397" s="261" t="s">
        <v>792</v>
      </c>
      <c r="M397" s="261" t="s">
        <v>792</v>
      </c>
      <c r="N397" s="261" t="s">
        <v>792</v>
      </c>
      <c r="O397" s="261" t="s">
        <v>792</v>
      </c>
      <c r="P397" s="261" t="s">
        <v>792</v>
      </c>
      <c r="Q397" s="261" t="s">
        <v>792</v>
      </c>
      <c r="R397" s="261" t="s">
        <v>792</v>
      </c>
      <c r="S397" s="261" t="s">
        <v>792</v>
      </c>
      <c r="T397" s="261" t="s">
        <v>792</v>
      </c>
      <c r="U397" s="261" t="s">
        <v>792</v>
      </c>
      <c r="V397" s="261" t="s">
        <v>792</v>
      </c>
      <c r="W397" s="261" t="s">
        <v>792</v>
      </c>
      <c r="X397" s="261" t="s">
        <v>792</v>
      </c>
      <c r="Y397" s="261" t="s">
        <v>792</v>
      </c>
      <c r="Z397" s="261" t="s">
        <v>792</v>
      </c>
      <c r="AA397" s="261" t="s">
        <v>792</v>
      </c>
      <c r="AB397" s="261" t="s">
        <v>792</v>
      </c>
      <c r="AC397" s="261" t="s">
        <v>792</v>
      </c>
      <c r="AD397" s="261" t="s">
        <v>792</v>
      </c>
      <c r="AE397" s="261" t="s">
        <v>792</v>
      </c>
      <c r="AF397" s="261" t="s">
        <v>792</v>
      </c>
      <c r="AG397" s="261" t="s">
        <v>792</v>
      </c>
      <c r="AH397" s="261" t="s">
        <v>792</v>
      </c>
      <c r="AI397" s="261" t="s">
        <v>792</v>
      </c>
      <c r="AJ397" s="261" t="s">
        <v>792</v>
      </c>
      <c r="AK397" s="261" t="s">
        <v>792</v>
      </c>
      <c r="AL397" s="261" t="s">
        <v>792</v>
      </c>
      <c r="AM397" s="261" t="s">
        <v>792</v>
      </c>
      <c r="AN397" s="261" t="s">
        <v>792</v>
      </c>
      <c r="AO397" s="261" t="s">
        <v>792</v>
      </c>
      <c r="AP397" s="261" t="s">
        <v>792</v>
      </c>
      <c r="AQ397" s="261" t="s">
        <v>792</v>
      </c>
      <c r="AR397" s="261" t="s">
        <v>792</v>
      </c>
      <c r="AS397" s="261" t="s">
        <v>792</v>
      </c>
      <c r="AT397" s="261" t="s">
        <v>792</v>
      </c>
      <c r="AU397" s="261" t="s">
        <v>792</v>
      </c>
      <c r="AV397" s="261" t="s">
        <v>792</v>
      </c>
      <c r="AW397" s="261" t="s">
        <v>792</v>
      </c>
      <c r="AX397" s="261" t="s">
        <v>792</v>
      </c>
      <c r="AY397" s="261" t="s">
        <v>792</v>
      </c>
      <c r="AZ397" s="261" t="s">
        <v>792</v>
      </c>
      <c r="BA397" s="261" t="s">
        <v>792</v>
      </c>
      <c r="BB397" s="261" t="s">
        <v>792</v>
      </c>
      <c r="BC397" s="261" t="s">
        <v>792</v>
      </c>
      <c r="BD397" s="261" t="s">
        <v>792</v>
      </c>
      <c r="BE397" s="261" t="s">
        <v>792</v>
      </c>
      <c r="BF397" s="261" t="s">
        <v>792</v>
      </c>
    </row>
    <row r="398" spans="1:58" x14ac:dyDescent="0.3">
      <c r="A398" s="260" t="s">
        <v>1007</v>
      </c>
      <c r="B398" s="261" t="s">
        <v>792</v>
      </c>
      <c r="C398" s="261" t="s">
        <v>792</v>
      </c>
      <c r="D398" s="261" t="s">
        <v>792</v>
      </c>
      <c r="E398" s="261" t="s">
        <v>792</v>
      </c>
      <c r="F398" s="261" t="s">
        <v>792</v>
      </c>
      <c r="G398" s="261" t="s">
        <v>792</v>
      </c>
      <c r="H398" s="261" t="s">
        <v>792</v>
      </c>
      <c r="I398" s="261" t="s">
        <v>792</v>
      </c>
      <c r="J398" s="261" t="s">
        <v>792</v>
      </c>
      <c r="K398" s="261" t="s">
        <v>792</v>
      </c>
      <c r="L398" s="261" t="s">
        <v>792</v>
      </c>
      <c r="M398" s="261" t="s">
        <v>792</v>
      </c>
      <c r="N398" s="261" t="s">
        <v>792</v>
      </c>
      <c r="O398" s="261" t="s">
        <v>792</v>
      </c>
      <c r="P398" s="261" t="s">
        <v>792</v>
      </c>
      <c r="Q398" s="261" t="s">
        <v>792</v>
      </c>
      <c r="R398" s="261" t="s">
        <v>792</v>
      </c>
      <c r="S398" s="261" t="s">
        <v>792</v>
      </c>
      <c r="T398" s="261" t="s">
        <v>792</v>
      </c>
      <c r="U398" s="261" t="s">
        <v>792</v>
      </c>
      <c r="V398" s="261" t="s">
        <v>792</v>
      </c>
      <c r="W398" s="261" t="s">
        <v>792</v>
      </c>
      <c r="X398" s="261" t="s">
        <v>792</v>
      </c>
      <c r="Y398" s="261" t="s">
        <v>792</v>
      </c>
      <c r="Z398" s="261" t="s">
        <v>792</v>
      </c>
      <c r="AA398" s="261" t="s">
        <v>792</v>
      </c>
      <c r="AB398" s="261" t="s">
        <v>792</v>
      </c>
      <c r="AC398" s="261" t="s">
        <v>792</v>
      </c>
      <c r="AD398" s="261" t="s">
        <v>792</v>
      </c>
      <c r="AE398" s="261" t="s">
        <v>792</v>
      </c>
      <c r="AF398" s="261" t="s">
        <v>792</v>
      </c>
      <c r="AG398" s="261" t="s">
        <v>792</v>
      </c>
      <c r="AH398" s="261" t="s">
        <v>792</v>
      </c>
      <c r="AI398" s="261" t="s">
        <v>792</v>
      </c>
      <c r="AJ398" s="261" t="s">
        <v>792</v>
      </c>
      <c r="AK398" s="261" t="s">
        <v>792</v>
      </c>
      <c r="AL398" s="261" t="s">
        <v>792</v>
      </c>
      <c r="AM398" s="261" t="s">
        <v>792</v>
      </c>
      <c r="AN398" s="261" t="s">
        <v>792</v>
      </c>
      <c r="AO398" s="261" t="s">
        <v>792</v>
      </c>
      <c r="AP398" s="261" t="s">
        <v>792</v>
      </c>
      <c r="AQ398" s="261" t="s">
        <v>792</v>
      </c>
      <c r="AR398" s="261" t="s">
        <v>792</v>
      </c>
      <c r="AS398" s="261" t="s">
        <v>792</v>
      </c>
      <c r="AT398" s="261" t="s">
        <v>792</v>
      </c>
      <c r="AU398" s="261" t="s">
        <v>792</v>
      </c>
      <c r="AV398" s="261" t="s">
        <v>792</v>
      </c>
      <c r="AW398" s="261" t="s">
        <v>792</v>
      </c>
      <c r="AX398" s="261" t="s">
        <v>792</v>
      </c>
      <c r="AY398" s="261" t="s">
        <v>792</v>
      </c>
      <c r="AZ398" s="261" t="s">
        <v>792</v>
      </c>
      <c r="BA398" s="261" t="s">
        <v>792</v>
      </c>
      <c r="BB398" s="261" t="s">
        <v>792</v>
      </c>
      <c r="BC398" s="261" t="s">
        <v>792</v>
      </c>
      <c r="BD398" s="261" t="s">
        <v>792</v>
      </c>
      <c r="BE398" s="261" t="s">
        <v>792</v>
      </c>
      <c r="BF398" s="261" t="s">
        <v>792</v>
      </c>
    </row>
    <row r="399" spans="1:58" x14ac:dyDescent="0.3">
      <c r="A399" s="260" t="s">
        <v>1100</v>
      </c>
      <c r="B399" s="261" t="s">
        <v>792</v>
      </c>
      <c r="C399" s="261" t="s">
        <v>792</v>
      </c>
      <c r="D399" s="261" t="s">
        <v>792</v>
      </c>
      <c r="E399" s="261" t="s">
        <v>792</v>
      </c>
      <c r="F399" s="261" t="s">
        <v>792</v>
      </c>
      <c r="G399" s="261" t="s">
        <v>792</v>
      </c>
      <c r="H399" s="261" t="s">
        <v>792</v>
      </c>
      <c r="I399" s="261" t="s">
        <v>792</v>
      </c>
      <c r="J399" s="261" t="s">
        <v>792</v>
      </c>
      <c r="K399" s="261" t="s">
        <v>792</v>
      </c>
      <c r="L399" s="261" t="s">
        <v>792</v>
      </c>
      <c r="M399" s="261" t="s">
        <v>792</v>
      </c>
      <c r="N399" s="261" t="s">
        <v>792</v>
      </c>
      <c r="O399" s="261" t="s">
        <v>792</v>
      </c>
      <c r="P399" s="261" t="s">
        <v>792</v>
      </c>
      <c r="Q399" s="261" t="s">
        <v>792</v>
      </c>
      <c r="R399" s="261" t="s">
        <v>792</v>
      </c>
      <c r="S399" s="261" t="s">
        <v>792</v>
      </c>
      <c r="T399" s="261" t="s">
        <v>792</v>
      </c>
      <c r="U399" s="261" t="s">
        <v>792</v>
      </c>
      <c r="V399" s="261" t="s">
        <v>792</v>
      </c>
      <c r="W399" s="261" t="s">
        <v>792</v>
      </c>
      <c r="X399" s="261" t="s">
        <v>792</v>
      </c>
      <c r="Y399" s="261" t="s">
        <v>792</v>
      </c>
      <c r="Z399" s="261" t="s">
        <v>792</v>
      </c>
      <c r="AA399" s="261" t="s">
        <v>792</v>
      </c>
      <c r="AB399" s="261" t="s">
        <v>792</v>
      </c>
      <c r="AC399" s="261" t="s">
        <v>792</v>
      </c>
      <c r="AD399" s="261" t="s">
        <v>792</v>
      </c>
      <c r="AE399" s="261" t="s">
        <v>792</v>
      </c>
      <c r="AF399" s="261" t="s">
        <v>792</v>
      </c>
      <c r="AG399" s="261" t="s">
        <v>792</v>
      </c>
      <c r="AH399" s="261" t="s">
        <v>792</v>
      </c>
      <c r="AI399" s="261" t="s">
        <v>792</v>
      </c>
      <c r="AJ399" s="261" t="s">
        <v>792</v>
      </c>
      <c r="AK399" s="261" t="s">
        <v>792</v>
      </c>
      <c r="AL399" s="261" t="s">
        <v>792</v>
      </c>
      <c r="AM399" s="261" t="s">
        <v>792</v>
      </c>
      <c r="AN399" s="261" t="s">
        <v>792</v>
      </c>
      <c r="AO399" s="261" t="s">
        <v>792</v>
      </c>
      <c r="AP399" s="261" t="s">
        <v>792</v>
      </c>
      <c r="AQ399" s="261" t="s">
        <v>792</v>
      </c>
      <c r="AR399" s="261" t="s">
        <v>792</v>
      </c>
      <c r="AS399" s="261" t="s">
        <v>792</v>
      </c>
      <c r="AT399" s="261" t="s">
        <v>792</v>
      </c>
      <c r="AU399" s="261" t="s">
        <v>792</v>
      </c>
      <c r="AV399" s="261" t="s">
        <v>792</v>
      </c>
      <c r="AW399" s="261" t="s">
        <v>792</v>
      </c>
      <c r="AX399" s="261" t="s">
        <v>792</v>
      </c>
      <c r="AY399" s="261" t="s">
        <v>792</v>
      </c>
      <c r="AZ399" s="261" t="s">
        <v>792</v>
      </c>
      <c r="BA399" s="261" t="s">
        <v>792</v>
      </c>
      <c r="BB399" s="261" t="s">
        <v>792</v>
      </c>
      <c r="BC399" s="261" t="s">
        <v>792</v>
      </c>
      <c r="BD399" s="261" t="s">
        <v>792</v>
      </c>
      <c r="BE399" s="261" t="s">
        <v>792</v>
      </c>
      <c r="BF399" s="261" t="s">
        <v>792</v>
      </c>
    </row>
    <row r="400" spans="1:58" x14ac:dyDescent="0.3">
      <c r="A400" s="260" t="s">
        <v>1101</v>
      </c>
      <c r="B400" s="261" t="s">
        <v>792</v>
      </c>
      <c r="C400" s="261" t="s">
        <v>792</v>
      </c>
      <c r="D400" s="261" t="s">
        <v>792</v>
      </c>
      <c r="E400" s="261" t="s">
        <v>792</v>
      </c>
      <c r="F400" s="261" t="s">
        <v>792</v>
      </c>
      <c r="G400" s="261" t="s">
        <v>792</v>
      </c>
      <c r="H400" s="261" t="s">
        <v>792</v>
      </c>
      <c r="I400" s="261" t="s">
        <v>792</v>
      </c>
      <c r="J400" s="261" t="s">
        <v>792</v>
      </c>
      <c r="K400" s="261" t="s">
        <v>792</v>
      </c>
      <c r="L400" s="261" t="s">
        <v>792</v>
      </c>
      <c r="M400" s="261" t="s">
        <v>792</v>
      </c>
      <c r="N400" s="261" t="s">
        <v>792</v>
      </c>
      <c r="O400" s="261" t="s">
        <v>792</v>
      </c>
      <c r="P400" s="261" t="s">
        <v>792</v>
      </c>
      <c r="Q400" s="261" t="s">
        <v>792</v>
      </c>
      <c r="R400" s="261" t="s">
        <v>792</v>
      </c>
      <c r="S400" s="261" t="s">
        <v>792</v>
      </c>
      <c r="T400" s="261" t="s">
        <v>792</v>
      </c>
      <c r="U400" s="261" t="s">
        <v>792</v>
      </c>
      <c r="V400" s="261" t="s">
        <v>792</v>
      </c>
      <c r="W400" s="261" t="s">
        <v>792</v>
      </c>
      <c r="X400" s="261" t="s">
        <v>792</v>
      </c>
      <c r="Y400" s="261" t="s">
        <v>792</v>
      </c>
      <c r="Z400" s="261" t="s">
        <v>792</v>
      </c>
      <c r="AA400" s="261" t="s">
        <v>792</v>
      </c>
      <c r="AB400" s="261" t="s">
        <v>792</v>
      </c>
      <c r="AC400" s="261" t="s">
        <v>792</v>
      </c>
      <c r="AD400" s="261" t="s">
        <v>792</v>
      </c>
      <c r="AE400" s="261" t="s">
        <v>792</v>
      </c>
      <c r="AF400" s="261" t="s">
        <v>792</v>
      </c>
      <c r="AG400" s="261" t="s">
        <v>792</v>
      </c>
      <c r="AH400" s="261" t="s">
        <v>792</v>
      </c>
      <c r="AI400" s="261" t="s">
        <v>792</v>
      </c>
      <c r="AJ400" s="261" t="s">
        <v>792</v>
      </c>
      <c r="AK400" s="261" t="s">
        <v>792</v>
      </c>
      <c r="AL400" s="261" t="s">
        <v>792</v>
      </c>
      <c r="AM400" s="261" t="s">
        <v>792</v>
      </c>
      <c r="AN400" s="261" t="s">
        <v>792</v>
      </c>
      <c r="AO400" s="261" t="s">
        <v>792</v>
      </c>
      <c r="AP400" s="261" t="s">
        <v>792</v>
      </c>
      <c r="AQ400" s="261" t="s">
        <v>792</v>
      </c>
      <c r="AR400" s="261" t="s">
        <v>792</v>
      </c>
      <c r="AS400" s="261" t="s">
        <v>792</v>
      </c>
      <c r="AT400" s="261" t="s">
        <v>792</v>
      </c>
      <c r="AU400" s="261" t="s">
        <v>792</v>
      </c>
      <c r="AV400" s="261" t="s">
        <v>792</v>
      </c>
      <c r="AW400" s="261" t="s">
        <v>792</v>
      </c>
      <c r="AX400" s="261" t="s">
        <v>792</v>
      </c>
      <c r="AY400" s="261" t="s">
        <v>792</v>
      </c>
      <c r="AZ400" s="261" t="s">
        <v>792</v>
      </c>
      <c r="BA400" s="261" t="s">
        <v>792</v>
      </c>
      <c r="BB400" s="261" t="s">
        <v>792</v>
      </c>
      <c r="BC400" s="261" t="s">
        <v>792</v>
      </c>
      <c r="BD400" s="261" t="s">
        <v>792</v>
      </c>
      <c r="BE400" s="261" t="s">
        <v>792</v>
      </c>
      <c r="BF400" s="261" t="s">
        <v>792</v>
      </c>
    </row>
    <row r="401" spans="1:58" x14ac:dyDescent="0.3">
      <c r="A401" s="260" t="s">
        <v>1102</v>
      </c>
      <c r="B401" s="261" t="s">
        <v>792</v>
      </c>
      <c r="C401" s="261" t="s">
        <v>792</v>
      </c>
      <c r="D401" s="261" t="s">
        <v>792</v>
      </c>
      <c r="E401" s="261" t="s">
        <v>792</v>
      </c>
      <c r="F401" s="261" t="s">
        <v>792</v>
      </c>
      <c r="G401" s="261" t="s">
        <v>792</v>
      </c>
      <c r="H401" s="261" t="s">
        <v>792</v>
      </c>
      <c r="I401" s="261" t="s">
        <v>792</v>
      </c>
      <c r="J401" s="261" t="s">
        <v>792</v>
      </c>
      <c r="K401" s="261" t="s">
        <v>792</v>
      </c>
      <c r="L401" s="261" t="s">
        <v>792</v>
      </c>
      <c r="M401" s="261" t="s">
        <v>792</v>
      </c>
      <c r="N401" s="261" t="s">
        <v>792</v>
      </c>
      <c r="O401" s="261" t="s">
        <v>792</v>
      </c>
      <c r="P401" s="261" t="s">
        <v>792</v>
      </c>
      <c r="Q401" s="261" t="s">
        <v>792</v>
      </c>
      <c r="R401" s="261" t="s">
        <v>792</v>
      </c>
      <c r="S401" s="261" t="s">
        <v>792</v>
      </c>
      <c r="T401" s="261" t="s">
        <v>792</v>
      </c>
      <c r="U401" s="261" t="s">
        <v>792</v>
      </c>
      <c r="V401" s="261" t="s">
        <v>792</v>
      </c>
      <c r="W401" s="261" t="s">
        <v>792</v>
      </c>
      <c r="X401" s="261" t="s">
        <v>792</v>
      </c>
      <c r="Y401" s="261" t="s">
        <v>792</v>
      </c>
      <c r="Z401" s="261" t="s">
        <v>792</v>
      </c>
      <c r="AA401" s="261" t="s">
        <v>792</v>
      </c>
      <c r="AB401" s="261" t="s">
        <v>792</v>
      </c>
      <c r="AC401" s="261" t="s">
        <v>792</v>
      </c>
      <c r="AD401" s="261" t="s">
        <v>792</v>
      </c>
      <c r="AE401" s="261" t="s">
        <v>792</v>
      </c>
      <c r="AF401" s="261" t="s">
        <v>792</v>
      </c>
      <c r="AG401" s="261" t="s">
        <v>792</v>
      </c>
      <c r="AH401" s="261" t="s">
        <v>792</v>
      </c>
      <c r="AI401" s="261" t="s">
        <v>792</v>
      </c>
      <c r="AJ401" s="261" t="s">
        <v>792</v>
      </c>
      <c r="AK401" s="261" t="s">
        <v>792</v>
      </c>
      <c r="AL401" s="261" t="s">
        <v>792</v>
      </c>
      <c r="AM401" s="261" t="s">
        <v>792</v>
      </c>
      <c r="AN401" s="261" t="s">
        <v>792</v>
      </c>
      <c r="AO401" s="261" t="s">
        <v>792</v>
      </c>
      <c r="AP401" s="261" t="s">
        <v>792</v>
      </c>
      <c r="AQ401" s="261" t="s">
        <v>792</v>
      </c>
      <c r="AR401" s="261" t="s">
        <v>792</v>
      </c>
      <c r="AS401" s="261" t="s">
        <v>792</v>
      </c>
      <c r="AT401" s="261" t="s">
        <v>792</v>
      </c>
      <c r="AU401" s="261" t="s">
        <v>792</v>
      </c>
      <c r="AV401" s="261" t="s">
        <v>792</v>
      </c>
      <c r="AW401" s="261" t="s">
        <v>792</v>
      </c>
      <c r="AX401" s="261" t="s">
        <v>792</v>
      </c>
      <c r="AY401" s="261" t="s">
        <v>792</v>
      </c>
      <c r="AZ401" s="261" t="s">
        <v>792</v>
      </c>
      <c r="BA401" s="261" t="s">
        <v>792</v>
      </c>
      <c r="BB401" s="261" t="s">
        <v>792</v>
      </c>
      <c r="BC401" s="261" t="s">
        <v>792</v>
      </c>
      <c r="BD401" s="261" t="s">
        <v>792</v>
      </c>
      <c r="BE401" s="261" t="s">
        <v>792</v>
      </c>
      <c r="BF401" s="261" t="s">
        <v>792</v>
      </c>
    </row>
    <row r="402" spans="1:58" x14ac:dyDescent="0.3">
      <c r="A402" s="260" t="s">
        <v>1103</v>
      </c>
      <c r="B402" s="261" t="s">
        <v>792</v>
      </c>
      <c r="C402" s="261" t="s">
        <v>792</v>
      </c>
      <c r="D402" s="261" t="s">
        <v>792</v>
      </c>
      <c r="E402" s="261" t="s">
        <v>792</v>
      </c>
      <c r="F402" s="261" t="s">
        <v>792</v>
      </c>
      <c r="G402" s="261" t="s">
        <v>792</v>
      </c>
      <c r="H402" s="261" t="s">
        <v>792</v>
      </c>
      <c r="I402" s="261" t="s">
        <v>792</v>
      </c>
      <c r="J402" s="261" t="s">
        <v>792</v>
      </c>
      <c r="K402" s="261" t="s">
        <v>792</v>
      </c>
      <c r="L402" s="261" t="s">
        <v>792</v>
      </c>
      <c r="M402" s="261" t="s">
        <v>792</v>
      </c>
      <c r="N402" s="261" t="s">
        <v>792</v>
      </c>
      <c r="O402" s="261" t="s">
        <v>792</v>
      </c>
      <c r="P402" s="261" t="s">
        <v>792</v>
      </c>
      <c r="Q402" s="261" t="s">
        <v>792</v>
      </c>
      <c r="R402" s="261" t="s">
        <v>792</v>
      </c>
      <c r="S402" s="261" t="s">
        <v>792</v>
      </c>
      <c r="T402" s="261" t="s">
        <v>792</v>
      </c>
      <c r="U402" s="261" t="s">
        <v>792</v>
      </c>
      <c r="V402" s="261" t="s">
        <v>792</v>
      </c>
      <c r="W402" s="261" t="s">
        <v>792</v>
      </c>
      <c r="X402" s="261" t="s">
        <v>792</v>
      </c>
      <c r="Y402" s="261" t="s">
        <v>792</v>
      </c>
      <c r="Z402" s="261" t="s">
        <v>792</v>
      </c>
      <c r="AA402" s="261" t="s">
        <v>792</v>
      </c>
      <c r="AB402" s="261" t="s">
        <v>792</v>
      </c>
      <c r="AC402" s="261" t="s">
        <v>792</v>
      </c>
      <c r="AD402" s="261" t="s">
        <v>792</v>
      </c>
      <c r="AE402" s="261" t="s">
        <v>792</v>
      </c>
      <c r="AF402" s="261" t="s">
        <v>792</v>
      </c>
      <c r="AG402" s="261" t="s">
        <v>792</v>
      </c>
      <c r="AH402" s="261" t="s">
        <v>792</v>
      </c>
      <c r="AI402" s="261" t="s">
        <v>792</v>
      </c>
      <c r="AJ402" s="261" t="s">
        <v>792</v>
      </c>
      <c r="AK402" s="261" t="s">
        <v>792</v>
      </c>
      <c r="AL402" s="261" t="s">
        <v>792</v>
      </c>
      <c r="AM402" s="261" t="s">
        <v>792</v>
      </c>
      <c r="AN402" s="261" t="s">
        <v>792</v>
      </c>
      <c r="AO402" s="261" t="s">
        <v>792</v>
      </c>
      <c r="AP402" s="261" t="s">
        <v>792</v>
      </c>
      <c r="AQ402" s="261" t="s">
        <v>792</v>
      </c>
      <c r="AR402" s="261" t="s">
        <v>792</v>
      </c>
      <c r="AS402" s="261" t="s">
        <v>792</v>
      </c>
      <c r="AT402" s="261" t="s">
        <v>792</v>
      </c>
      <c r="AU402" s="261" t="s">
        <v>792</v>
      </c>
      <c r="AV402" s="261" t="s">
        <v>792</v>
      </c>
      <c r="AW402" s="261" t="s">
        <v>792</v>
      </c>
      <c r="AX402" s="261" t="s">
        <v>792</v>
      </c>
      <c r="AY402" s="261" t="s">
        <v>792</v>
      </c>
      <c r="AZ402" s="261" t="s">
        <v>792</v>
      </c>
      <c r="BA402" s="261" t="s">
        <v>792</v>
      </c>
      <c r="BB402" s="261" t="s">
        <v>792</v>
      </c>
      <c r="BC402" s="261" t="s">
        <v>792</v>
      </c>
      <c r="BD402" s="261" t="s">
        <v>792</v>
      </c>
      <c r="BE402" s="261" t="s">
        <v>792</v>
      </c>
      <c r="BF402" s="261" t="s">
        <v>792</v>
      </c>
    </row>
    <row r="403" spans="1:58" x14ac:dyDescent="0.3">
      <c r="A403" s="260" t="s">
        <v>1104</v>
      </c>
      <c r="B403" s="261" t="s">
        <v>792</v>
      </c>
      <c r="C403" s="261" t="s">
        <v>792</v>
      </c>
      <c r="D403" s="261" t="s">
        <v>792</v>
      </c>
      <c r="E403" s="261" t="s">
        <v>792</v>
      </c>
      <c r="F403" s="261" t="s">
        <v>792</v>
      </c>
      <c r="G403" s="261" t="s">
        <v>792</v>
      </c>
      <c r="H403" s="261" t="s">
        <v>792</v>
      </c>
      <c r="I403" s="261" t="s">
        <v>792</v>
      </c>
      <c r="J403" s="261" t="s">
        <v>792</v>
      </c>
      <c r="K403" s="261" t="s">
        <v>792</v>
      </c>
      <c r="L403" s="261" t="s">
        <v>792</v>
      </c>
      <c r="M403" s="261" t="s">
        <v>792</v>
      </c>
      <c r="N403" s="261" t="s">
        <v>792</v>
      </c>
      <c r="O403" s="261" t="s">
        <v>792</v>
      </c>
      <c r="P403" s="261" t="s">
        <v>792</v>
      </c>
      <c r="Q403" s="261" t="s">
        <v>792</v>
      </c>
      <c r="R403" s="261" t="s">
        <v>792</v>
      </c>
      <c r="S403" s="261" t="s">
        <v>792</v>
      </c>
      <c r="T403" s="261" t="s">
        <v>792</v>
      </c>
      <c r="U403" s="261" t="s">
        <v>792</v>
      </c>
      <c r="V403" s="261" t="s">
        <v>792</v>
      </c>
      <c r="W403" s="261" t="s">
        <v>792</v>
      </c>
      <c r="X403" s="261" t="s">
        <v>792</v>
      </c>
      <c r="Y403" s="261" t="s">
        <v>792</v>
      </c>
      <c r="Z403" s="261" t="s">
        <v>792</v>
      </c>
      <c r="AA403" s="261" t="s">
        <v>792</v>
      </c>
      <c r="AB403" s="261" t="s">
        <v>792</v>
      </c>
      <c r="AC403" s="261" t="s">
        <v>792</v>
      </c>
      <c r="AD403" s="261" t="s">
        <v>792</v>
      </c>
      <c r="AE403" s="261" t="s">
        <v>792</v>
      </c>
      <c r="AF403" s="261" t="s">
        <v>792</v>
      </c>
      <c r="AG403" s="261" t="s">
        <v>792</v>
      </c>
      <c r="AH403" s="261" t="s">
        <v>792</v>
      </c>
      <c r="AI403" s="261" t="s">
        <v>792</v>
      </c>
      <c r="AJ403" s="261" t="s">
        <v>792</v>
      </c>
      <c r="AK403" s="261" t="s">
        <v>792</v>
      </c>
      <c r="AL403" s="261" t="s">
        <v>792</v>
      </c>
      <c r="AM403" s="261" t="s">
        <v>792</v>
      </c>
      <c r="AN403" s="261" t="s">
        <v>792</v>
      </c>
      <c r="AO403" s="261" t="s">
        <v>792</v>
      </c>
      <c r="AP403" s="261" t="s">
        <v>792</v>
      </c>
      <c r="AQ403" s="261" t="s">
        <v>792</v>
      </c>
      <c r="AR403" s="261" t="s">
        <v>792</v>
      </c>
      <c r="AS403" s="261" t="s">
        <v>792</v>
      </c>
      <c r="AT403" s="261" t="s">
        <v>792</v>
      </c>
      <c r="AU403" s="261" t="s">
        <v>792</v>
      </c>
      <c r="AV403" s="261" t="s">
        <v>792</v>
      </c>
      <c r="AW403" s="261" t="s">
        <v>792</v>
      </c>
      <c r="AX403" s="261" t="s">
        <v>792</v>
      </c>
      <c r="AY403" s="261" t="s">
        <v>792</v>
      </c>
      <c r="AZ403" s="261" t="s">
        <v>792</v>
      </c>
      <c r="BA403" s="261" t="s">
        <v>792</v>
      </c>
      <c r="BB403" s="261" t="s">
        <v>792</v>
      </c>
      <c r="BC403" s="261" t="s">
        <v>792</v>
      </c>
      <c r="BD403" s="261" t="s">
        <v>792</v>
      </c>
      <c r="BE403" s="261" t="s">
        <v>792</v>
      </c>
      <c r="BF403" s="261" t="s">
        <v>792</v>
      </c>
    </row>
    <row r="404" spans="1:58" x14ac:dyDescent="0.3">
      <c r="A404" s="260" t="s">
        <v>1105</v>
      </c>
      <c r="B404" s="261" t="s">
        <v>792</v>
      </c>
      <c r="C404" s="261" t="s">
        <v>792</v>
      </c>
      <c r="D404" s="261" t="s">
        <v>792</v>
      </c>
      <c r="E404" s="261" t="s">
        <v>792</v>
      </c>
      <c r="F404" s="261" t="s">
        <v>792</v>
      </c>
      <c r="G404" s="261" t="s">
        <v>792</v>
      </c>
      <c r="H404" s="261" t="s">
        <v>792</v>
      </c>
      <c r="I404" s="261" t="s">
        <v>792</v>
      </c>
      <c r="J404" s="261" t="s">
        <v>792</v>
      </c>
      <c r="K404" s="261" t="s">
        <v>792</v>
      </c>
      <c r="L404" s="261" t="s">
        <v>792</v>
      </c>
      <c r="M404" s="261" t="s">
        <v>792</v>
      </c>
      <c r="N404" s="261" t="s">
        <v>792</v>
      </c>
      <c r="O404" s="261" t="s">
        <v>792</v>
      </c>
      <c r="P404" s="261" t="s">
        <v>792</v>
      </c>
      <c r="Q404" s="261" t="s">
        <v>792</v>
      </c>
      <c r="R404" s="261" t="s">
        <v>792</v>
      </c>
      <c r="S404" s="261" t="s">
        <v>792</v>
      </c>
      <c r="T404" s="261" t="s">
        <v>792</v>
      </c>
      <c r="U404" s="261" t="s">
        <v>792</v>
      </c>
      <c r="V404" s="261" t="s">
        <v>792</v>
      </c>
      <c r="W404" s="261" t="s">
        <v>792</v>
      </c>
      <c r="X404" s="261" t="s">
        <v>792</v>
      </c>
      <c r="Y404" s="261" t="s">
        <v>792</v>
      </c>
      <c r="Z404" s="261" t="s">
        <v>792</v>
      </c>
      <c r="AA404" s="261" t="s">
        <v>792</v>
      </c>
      <c r="AB404" s="261" t="s">
        <v>792</v>
      </c>
      <c r="AC404" s="261" t="s">
        <v>792</v>
      </c>
      <c r="AD404" s="261" t="s">
        <v>792</v>
      </c>
      <c r="AE404" s="261" t="s">
        <v>792</v>
      </c>
      <c r="AF404" s="261" t="s">
        <v>792</v>
      </c>
      <c r="AG404" s="261" t="s">
        <v>792</v>
      </c>
      <c r="AH404" s="261" t="s">
        <v>792</v>
      </c>
      <c r="AI404" s="261" t="s">
        <v>792</v>
      </c>
      <c r="AJ404" s="261" t="s">
        <v>792</v>
      </c>
      <c r="AK404" s="261" t="s">
        <v>792</v>
      </c>
      <c r="AL404" s="261" t="s">
        <v>792</v>
      </c>
      <c r="AM404" s="261" t="s">
        <v>792</v>
      </c>
      <c r="AN404" s="261" t="s">
        <v>792</v>
      </c>
      <c r="AO404" s="261" t="s">
        <v>792</v>
      </c>
      <c r="AP404" s="261" t="s">
        <v>792</v>
      </c>
      <c r="AQ404" s="261" t="s">
        <v>792</v>
      </c>
      <c r="AR404" s="261" t="s">
        <v>792</v>
      </c>
      <c r="AS404" s="261" t="s">
        <v>792</v>
      </c>
      <c r="AT404" s="261" t="s">
        <v>792</v>
      </c>
      <c r="AU404" s="261" t="s">
        <v>792</v>
      </c>
      <c r="AV404" s="261" t="s">
        <v>792</v>
      </c>
      <c r="AW404" s="261" t="s">
        <v>792</v>
      </c>
      <c r="AX404" s="261" t="s">
        <v>792</v>
      </c>
      <c r="AY404" s="261" t="s">
        <v>792</v>
      </c>
      <c r="AZ404" s="261" t="s">
        <v>792</v>
      </c>
      <c r="BA404" s="261" t="s">
        <v>792</v>
      </c>
      <c r="BB404" s="261" t="s">
        <v>792</v>
      </c>
      <c r="BC404" s="261" t="s">
        <v>792</v>
      </c>
      <c r="BD404" s="261" t="s">
        <v>792</v>
      </c>
      <c r="BE404" s="261" t="s">
        <v>792</v>
      </c>
      <c r="BF404" s="261" t="s">
        <v>792</v>
      </c>
    </row>
    <row r="405" spans="1:58" x14ac:dyDescent="0.3">
      <c r="A405" s="260" t="s">
        <v>1106</v>
      </c>
      <c r="B405" s="261" t="s">
        <v>792</v>
      </c>
      <c r="C405" s="261" t="s">
        <v>792</v>
      </c>
      <c r="D405" s="261" t="s">
        <v>792</v>
      </c>
      <c r="E405" s="261" t="s">
        <v>792</v>
      </c>
      <c r="F405" s="261" t="s">
        <v>792</v>
      </c>
      <c r="G405" s="261" t="s">
        <v>792</v>
      </c>
      <c r="H405" s="261" t="s">
        <v>792</v>
      </c>
      <c r="I405" s="261" t="s">
        <v>792</v>
      </c>
      <c r="J405" s="261" t="s">
        <v>792</v>
      </c>
      <c r="K405" s="261" t="s">
        <v>792</v>
      </c>
      <c r="L405" s="261" t="s">
        <v>792</v>
      </c>
      <c r="M405" s="261" t="s">
        <v>792</v>
      </c>
      <c r="N405" s="261" t="s">
        <v>792</v>
      </c>
      <c r="O405" s="261" t="s">
        <v>792</v>
      </c>
      <c r="P405" s="261" t="s">
        <v>792</v>
      </c>
      <c r="Q405" s="261" t="s">
        <v>792</v>
      </c>
      <c r="R405" s="261" t="s">
        <v>792</v>
      </c>
      <c r="S405" s="261" t="s">
        <v>792</v>
      </c>
      <c r="T405" s="261" t="s">
        <v>792</v>
      </c>
      <c r="U405" s="261" t="s">
        <v>792</v>
      </c>
      <c r="V405" s="261" t="s">
        <v>792</v>
      </c>
      <c r="W405" s="261" t="s">
        <v>792</v>
      </c>
      <c r="X405" s="261" t="s">
        <v>792</v>
      </c>
      <c r="Y405" s="261" t="s">
        <v>792</v>
      </c>
      <c r="Z405" s="261" t="s">
        <v>792</v>
      </c>
      <c r="AA405" s="261" t="s">
        <v>792</v>
      </c>
      <c r="AB405" s="261" t="s">
        <v>792</v>
      </c>
      <c r="AC405" s="261" t="s">
        <v>792</v>
      </c>
      <c r="AD405" s="261" t="s">
        <v>792</v>
      </c>
      <c r="AE405" s="261" t="s">
        <v>792</v>
      </c>
      <c r="AF405" s="261" t="s">
        <v>792</v>
      </c>
      <c r="AG405" s="261" t="s">
        <v>792</v>
      </c>
      <c r="AH405" s="261" t="s">
        <v>792</v>
      </c>
      <c r="AI405" s="261" t="s">
        <v>792</v>
      </c>
      <c r="AJ405" s="261" t="s">
        <v>792</v>
      </c>
      <c r="AK405" s="261" t="s">
        <v>792</v>
      </c>
      <c r="AL405" s="261" t="s">
        <v>792</v>
      </c>
      <c r="AM405" s="261" t="s">
        <v>792</v>
      </c>
      <c r="AN405" s="261" t="s">
        <v>792</v>
      </c>
      <c r="AO405" s="261" t="s">
        <v>792</v>
      </c>
      <c r="AP405" s="261" t="s">
        <v>792</v>
      </c>
      <c r="AQ405" s="261" t="s">
        <v>792</v>
      </c>
      <c r="AR405" s="261" t="s">
        <v>792</v>
      </c>
      <c r="AS405" s="261" t="s">
        <v>792</v>
      </c>
      <c r="AT405" s="261" t="s">
        <v>792</v>
      </c>
      <c r="AU405" s="261" t="s">
        <v>792</v>
      </c>
      <c r="AV405" s="261" t="s">
        <v>792</v>
      </c>
      <c r="AW405" s="261" t="s">
        <v>792</v>
      </c>
      <c r="AX405" s="261" t="s">
        <v>792</v>
      </c>
      <c r="AY405" s="261" t="s">
        <v>792</v>
      </c>
      <c r="AZ405" s="261" t="s">
        <v>792</v>
      </c>
      <c r="BA405" s="261" t="s">
        <v>792</v>
      </c>
      <c r="BB405" s="261" t="s">
        <v>792</v>
      </c>
      <c r="BC405" s="261" t="s">
        <v>792</v>
      </c>
      <c r="BD405" s="261" t="s">
        <v>792</v>
      </c>
      <c r="BE405" s="261" t="s">
        <v>792</v>
      </c>
      <c r="BF405" s="261" t="s">
        <v>792</v>
      </c>
    </row>
    <row r="406" spans="1:58" x14ac:dyDescent="0.3">
      <c r="A406" s="260" t="s">
        <v>1107</v>
      </c>
      <c r="B406" s="261" t="s">
        <v>792</v>
      </c>
      <c r="C406" s="261" t="s">
        <v>792</v>
      </c>
      <c r="D406" s="261" t="s">
        <v>792</v>
      </c>
      <c r="E406" s="261" t="s">
        <v>792</v>
      </c>
      <c r="F406" s="261" t="s">
        <v>792</v>
      </c>
      <c r="G406" s="261" t="s">
        <v>792</v>
      </c>
      <c r="H406" s="261" t="s">
        <v>792</v>
      </c>
      <c r="I406" s="261" t="s">
        <v>792</v>
      </c>
      <c r="J406" s="261" t="s">
        <v>792</v>
      </c>
      <c r="K406" s="261" t="s">
        <v>792</v>
      </c>
      <c r="L406" s="261" t="s">
        <v>792</v>
      </c>
      <c r="M406" s="261" t="s">
        <v>792</v>
      </c>
      <c r="N406" s="261" t="s">
        <v>792</v>
      </c>
      <c r="O406" s="261" t="s">
        <v>792</v>
      </c>
      <c r="P406" s="261" t="s">
        <v>792</v>
      </c>
      <c r="Q406" s="261" t="s">
        <v>792</v>
      </c>
      <c r="R406" s="261" t="s">
        <v>792</v>
      </c>
      <c r="S406" s="261" t="s">
        <v>792</v>
      </c>
      <c r="T406" s="261" t="s">
        <v>792</v>
      </c>
      <c r="U406" s="261" t="s">
        <v>792</v>
      </c>
      <c r="V406" s="261" t="s">
        <v>792</v>
      </c>
      <c r="W406" s="261" t="s">
        <v>792</v>
      </c>
      <c r="X406" s="261" t="s">
        <v>792</v>
      </c>
      <c r="Y406" s="261" t="s">
        <v>792</v>
      </c>
      <c r="Z406" s="261" t="s">
        <v>792</v>
      </c>
      <c r="AA406" s="261" t="s">
        <v>792</v>
      </c>
      <c r="AB406" s="261" t="s">
        <v>792</v>
      </c>
      <c r="AC406" s="261" t="s">
        <v>792</v>
      </c>
      <c r="AD406" s="261" t="s">
        <v>792</v>
      </c>
      <c r="AE406" s="261" t="s">
        <v>792</v>
      </c>
      <c r="AF406" s="261" t="s">
        <v>792</v>
      </c>
      <c r="AG406" s="261" t="s">
        <v>792</v>
      </c>
      <c r="AH406" s="261" t="s">
        <v>792</v>
      </c>
      <c r="AI406" s="261" t="s">
        <v>792</v>
      </c>
      <c r="AJ406" s="261" t="s">
        <v>792</v>
      </c>
      <c r="AK406" s="261" t="s">
        <v>792</v>
      </c>
      <c r="AL406" s="261" t="s">
        <v>792</v>
      </c>
      <c r="AM406" s="261" t="s">
        <v>792</v>
      </c>
      <c r="AN406" s="261" t="s">
        <v>792</v>
      </c>
      <c r="AO406" s="261" t="s">
        <v>792</v>
      </c>
      <c r="AP406" s="261" t="s">
        <v>792</v>
      </c>
      <c r="AQ406" s="261" t="s">
        <v>792</v>
      </c>
      <c r="AR406" s="261" t="s">
        <v>792</v>
      </c>
      <c r="AS406" s="261" t="s">
        <v>792</v>
      </c>
      <c r="AT406" s="261" t="s">
        <v>792</v>
      </c>
      <c r="AU406" s="261" t="s">
        <v>792</v>
      </c>
      <c r="AV406" s="261" t="s">
        <v>792</v>
      </c>
      <c r="AW406" s="261" t="s">
        <v>792</v>
      </c>
      <c r="AX406" s="261" t="s">
        <v>792</v>
      </c>
      <c r="AY406" s="261" t="s">
        <v>792</v>
      </c>
      <c r="AZ406" s="261" t="s">
        <v>792</v>
      </c>
      <c r="BA406" s="261" t="s">
        <v>792</v>
      </c>
      <c r="BB406" s="261" t="s">
        <v>792</v>
      </c>
      <c r="BC406" s="261" t="s">
        <v>792</v>
      </c>
      <c r="BD406" s="261" t="s">
        <v>792</v>
      </c>
      <c r="BE406" s="261" t="s">
        <v>792</v>
      </c>
      <c r="BF406" s="261" t="s">
        <v>792</v>
      </c>
    </row>
    <row r="407" spans="1:58" x14ac:dyDescent="0.3">
      <c r="A407" s="255" t="s">
        <v>1108</v>
      </c>
      <c r="B407" s="256" t="s">
        <v>792</v>
      </c>
      <c r="C407" s="256" t="s">
        <v>792</v>
      </c>
      <c r="D407" s="256" t="s">
        <v>792</v>
      </c>
      <c r="E407" s="256" t="s">
        <v>792</v>
      </c>
      <c r="F407" s="256" t="s">
        <v>792</v>
      </c>
      <c r="G407" s="256" t="s">
        <v>792</v>
      </c>
      <c r="H407" s="256" t="s">
        <v>792</v>
      </c>
      <c r="I407" s="256" t="s">
        <v>792</v>
      </c>
      <c r="J407" s="256" t="s">
        <v>792</v>
      </c>
      <c r="K407" s="256" t="s">
        <v>792</v>
      </c>
      <c r="L407" s="256" t="s">
        <v>792</v>
      </c>
      <c r="M407" s="256" t="s">
        <v>792</v>
      </c>
      <c r="N407" s="256" t="s">
        <v>792</v>
      </c>
      <c r="O407" s="256" t="s">
        <v>792</v>
      </c>
      <c r="P407" s="256" t="s">
        <v>792</v>
      </c>
      <c r="Q407" s="256" t="s">
        <v>792</v>
      </c>
      <c r="R407" s="256" t="s">
        <v>792</v>
      </c>
      <c r="S407" s="256" t="s">
        <v>792</v>
      </c>
      <c r="T407" s="256" t="s">
        <v>792</v>
      </c>
      <c r="U407" s="256" t="s">
        <v>792</v>
      </c>
      <c r="V407" s="256" t="s">
        <v>792</v>
      </c>
      <c r="W407" s="256" t="s">
        <v>792</v>
      </c>
      <c r="X407" s="256" t="s">
        <v>792</v>
      </c>
      <c r="Y407" s="256" t="s">
        <v>792</v>
      </c>
      <c r="Z407" s="256" t="s">
        <v>792</v>
      </c>
      <c r="AA407" s="256" t="s">
        <v>792</v>
      </c>
      <c r="AB407" s="256" t="s">
        <v>792</v>
      </c>
      <c r="AC407" s="256" t="s">
        <v>792</v>
      </c>
      <c r="AD407" s="256" t="s">
        <v>792</v>
      </c>
      <c r="AE407" s="256" t="s">
        <v>792</v>
      </c>
      <c r="AF407" s="256" t="s">
        <v>792</v>
      </c>
      <c r="AG407" s="256" t="s">
        <v>792</v>
      </c>
      <c r="AH407" s="256" t="s">
        <v>792</v>
      </c>
      <c r="AI407" s="256" t="s">
        <v>792</v>
      </c>
      <c r="AJ407" s="256" t="s">
        <v>792</v>
      </c>
      <c r="AK407" s="256" t="s">
        <v>792</v>
      </c>
      <c r="AL407" s="256" t="s">
        <v>792</v>
      </c>
      <c r="AM407" s="256" t="s">
        <v>792</v>
      </c>
      <c r="AN407" s="256" t="s">
        <v>792</v>
      </c>
      <c r="AO407" s="256" t="s">
        <v>792</v>
      </c>
      <c r="AP407" s="256" t="s">
        <v>792</v>
      </c>
      <c r="AQ407" s="256" t="s">
        <v>792</v>
      </c>
      <c r="AR407" s="256" t="s">
        <v>792</v>
      </c>
      <c r="AS407" s="256" t="s">
        <v>792</v>
      </c>
      <c r="AT407" s="256" t="s">
        <v>792</v>
      </c>
      <c r="AU407" s="256" t="s">
        <v>792</v>
      </c>
      <c r="AV407" s="256" t="s">
        <v>792</v>
      </c>
      <c r="AW407" s="256" t="s">
        <v>792</v>
      </c>
      <c r="AX407" s="256" t="s">
        <v>792</v>
      </c>
      <c r="AY407" s="256" t="s">
        <v>792</v>
      </c>
      <c r="AZ407" s="256" t="s">
        <v>792</v>
      </c>
      <c r="BA407" s="256" t="s">
        <v>792</v>
      </c>
      <c r="BB407" s="256" t="s">
        <v>792</v>
      </c>
      <c r="BC407" s="256" t="s">
        <v>792</v>
      </c>
      <c r="BD407" s="256" t="s">
        <v>792</v>
      </c>
      <c r="BE407" s="256" t="s">
        <v>792</v>
      </c>
      <c r="BF407" s="256" t="s">
        <v>792</v>
      </c>
    </row>
    <row r="408" spans="1:58" x14ac:dyDescent="0.3">
      <c r="A408" s="258" t="s">
        <v>1109</v>
      </c>
      <c r="B408" s="264" t="s">
        <v>792</v>
      </c>
      <c r="C408" s="264" t="s">
        <v>792</v>
      </c>
      <c r="D408" s="264" t="s">
        <v>792</v>
      </c>
      <c r="E408" s="264" t="s">
        <v>792</v>
      </c>
      <c r="F408" s="264" t="s">
        <v>792</v>
      </c>
      <c r="G408" s="264" t="s">
        <v>792</v>
      </c>
      <c r="H408" s="264" t="s">
        <v>792</v>
      </c>
      <c r="I408" s="264" t="s">
        <v>792</v>
      </c>
      <c r="J408" s="264" t="s">
        <v>792</v>
      </c>
      <c r="K408" s="264" t="s">
        <v>792</v>
      </c>
      <c r="L408" s="264" t="s">
        <v>792</v>
      </c>
      <c r="M408" s="264" t="s">
        <v>792</v>
      </c>
      <c r="N408" s="264" t="s">
        <v>792</v>
      </c>
      <c r="O408" s="264" t="s">
        <v>792</v>
      </c>
      <c r="P408" s="264" t="s">
        <v>792</v>
      </c>
      <c r="Q408" s="264" t="s">
        <v>792</v>
      </c>
      <c r="R408" s="264" t="s">
        <v>792</v>
      </c>
      <c r="S408" s="264" t="s">
        <v>792</v>
      </c>
      <c r="T408" s="264" t="s">
        <v>792</v>
      </c>
      <c r="U408" s="264" t="s">
        <v>792</v>
      </c>
      <c r="V408" s="264" t="s">
        <v>792</v>
      </c>
      <c r="W408" s="264" t="s">
        <v>792</v>
      </c>
      <c r="X408" s="264" t="s">
        <v>792</v>
      </c>
      <c r="Y408" s="264" t="s">
        <v>792</v>
      </c>
      <c r="Z408" s="264" t="s">
        <v>792</v>
      </c>
      <c r="AA408" s="264" t="s">
        <v>792</v>
      </c>
      <c r="AB408" s="264" t="s">
        <v>792</v>
      </c>
      <c r="AC408" s="264" t="s">
        <v>792</v>
      </c>
      <c r="AD408" s="264" t="s">
        <v>792</v>
      </c>
      <c r="AE408" s="264" t="s">
        <v>792</v>
      </c>
      <c r="AF408" s="264" t="s">
        <v>792</v>
      </c>
      <c r="AG408" s="264" t="s">
        <v>792</v>
      </c>
      <c r="AH408" s="264" t="s">
        <v>792</v>
      </c>
      <c r="AI408" s="264" t="s">
        <v>792</v>
      </c>
      <c r="AJ408" s="264" t="s">
        <v>792</v>
      </c>
      <c r="AK408" s="264" t="s">
        <v>792</v>
      </c>
      <c r="AL408" s="264" t="s">
        <v>792</v>
      </c>
      <c r="AM408" s="264" t="s">
        <v>792</v>
      </c>
      <c r="AN408" s="264" t="s">
        <v>792</v>
      </c>
      <c r="AO408" s="264" t="s">
        <v>792</v>
      </c>
      <c r="AP408" s="264" t="s">
        <v>792</v>
      </c>
      <c r="AQ408" s="264" t="s">
        <v>792</v>
      </c>
      <c r="AR408" s="264" t="s">
        <v>792</v>
      </c>
      <c r="AS408" s="264" t="s">
        <v>792</v>
      </c>
      <c r="AT408" s="264" t="s">
        <v>792</v>
      </c>
      <c r="AU408" s="264" t="s">
        <v>792</v>
      </c>
      <c r="AV408" s="264" t="s">
        <v>792</v>
      </c>
      <c r="AW408" s="264" t="s">
        <v>792</v>
      </c>
      <c r="AX408" s="264" t="s">
        <v>792</v>
      </c>
      <c r="AY408" s="264" t="s">
        <v>792</v>
      </c>
      <c r="AZ408" s="264" t="s">
        <v>792</v>
      </c>
      <c r="BA408" s="264" t="s">
        <v>792</v>
      </c>
      <c r="BB408" s="264" t="s">
        <v>792</v>
      </c>
      <c r="BC408" s="264" t="s">
        <v>792</v>
      </c>
      <c r="BD408" s="264" t="s">
        <v>792</v>
      </c>
      <c r="BE408" s="264" t="s">
        <v>792</v>
      </c>
      <c r="BF408" s="264" t="s">
        <v>792</v>
      </c>
    </row>
    <row r="409" spans="1:58" x14ac:dyDescent="0.3">
      <c r="A409" s="260" t="s">
        <v>1110</v>
      </c>
      <c r="B409" s="261" t="s">
        <v>792</v>
      </c>
      <c r="C409" s="261" t="s">
        <v>792</v>
      </c>
      <c r="D409" s="261" t="s">
        <v>792</v>
      </c>
      <c r="E409" s="261" t="s">
        <v>792</v>
      </c>
      <c r="F409" s="261" t="s">
        <v>792</v>
      </c>
      <c r="G409" s="261" t="s">
        <v>792</v>
      </c>
      <c r="H409" s="261" t="s">
        <v>792</v>
      </c>
      <c r="I409" s="261" t="s">
        <v>792</v>
      </c>
      <c r="J409" s="261" t="s">
        <v>792</v>
      </c>
      <c r="K409" s="261" t="s">
        <v>792</v>
      </c>
      <c r="L409" s="261" t="s">
        <v>792</v>
      </c>
      <c r="M409" s="261" t="s">
        <v>792</v>
      </c>
      <c r="N409" s="261" t="s">
        <v>792</v>
      </c>
      <c r="O409" s="261" t="s">
        <v>792</v>
      </c>
      <c r="P409" s="261" t="s">
        <v>792</v>
      </c>
      <c r="Q409" s="261" t="s">
        <v>792</v>
      </c>
      <c r="R409" s="261" t="s">
        <v>792</v>
      </c>
      <c r="S409" s="261" t="s">
        <v>792</v>
      </c>
      <c r="T409" s="261" t="s">
        <v>792</v>
      </c>
      <c r="U409" s="261" t="s">
        <v>792</v>
      </c>
      <c r="V409" s="261" t="s">
        <v>792</v>
      </c>
      <c r="W409" s="261" t="s">
        <v>792</v>
      </c>
      <c r="X409" s="261" t="s">
        <v>792</v>
      </c>
      <c r="Y409" s="261" t="s">
        <v>792</v>
      </c>
      <c r="Z409" s="261" t="s">
        <v>792</v>
      </c>
      <c r="AA409" s="261" t="s">
        <v>792</v>
      </c>
      <c r="AB409" s="261" t="s">
        <v>792</v>
      </c>
      <c r="AC409" s="261" t="s">
        <v>792</v>
      </c>
      <c r="AD409" s="261" t="s">
        <v>792</v>
      </c>
      <c r="AE409" s="261" t="s">
        <v>792</v>
      </c>
      <c r="AF409" s="261" t="s">
        <v>792</v>
      </c>
      <c r="AG409" s="261" t="s">
        <v>792</v>
      </c>
      <c r="AH409" s="261" t="s">
        <v>792</v>
      </c>
      <c r="AI409" s="261" t="s">
        <v>792</v>
      </c>
      <c r="AJ409" s="261" t="s">
        <v>792</v>
      </c>
      <c r="AK409" s="261" t="s">
        <v>792</v>
      </c>
      <c r="AL409" s="261" t="s">
        <v>792</v>
      </c>
      <c r="AM409" s="261" t="s">
        <v>792</v>
      </c>
      <c r="AN409" s="261" t="s">
        <v>792</v>
      </c>
      <c r="AO409" s="261" t="s">
        <v>792</v>
      </c>
      <c r="AP409" s="261" t="s">
        <v>792</v>
      </c>
      <c r="AQ409" s="261" t="s">
        <v>792</v>
      </c>
      <c r="AR409" s="261" t="s">
        <v>792</v>
      </c>
      <c r="AS409" s="261" t="s">
        <v>792</v>
      </c>
      <c r="AT409" s="261" t="s">
        <v>792</v>
      </c>
      <c r="AU409" s="261" t="s">
        <v>792</v>
      </c>
      <c r="AV409" s="261" t="s">
        <v>792</v>
      </c>
      <c r="AW409" s="261" t="s">
        <v>792</v>
      </c>
      <c r="AX409" s="261" t="s">
        <v>792</v>
      </c>
      <c r="AY409" s="261" t="s">
        <v>792</v>
      </c>
      <c r="AZ409" s="261" t="s">
        <v>792</v>
      </c>
      <c r="BA409" s="261" t="s">
        <v>792</v>
      </c>
      <c r="BB409" s="261" t="s">
        <v>792</v>
      </c>
      <c r="BC409" s="261" t="s">
        <v>792</v>
      </c>
      <c r="BD409" s="261" t="s">
        <v>792</v>
      </c>
      <c r="BE409" s="261" t="s">
        <v>792</v>
      </c>
      <c r="BF409" s="261" t="s">
        <v>792</v>
      </c>
    </row>
    <row r="410" spans="1:58" x14ac:dyDescent="0.3">
      <c r="A410" s="260" t="s">
        <v>1111</v>
      </c>
      <c r="B410" s="261" t="s">
        <v>792</v>
      </c>
      <c r="C410" s="261" t="s">
        <v>792</v>
      </c>
      <c r="D410" s="261" t="s">
        <v>792</v>
      </c>
      <c r="E410" s="261" t="s">
        <v>792</v>
      </c>
      <c r="F410" s="261" t="s">
        <v>792</v>
      </c>
      <c r="G410" s="261" t="s">
        <v>792</v>
      </c>
      <c r="H410" s="261" t="s">
        <v>792</v>
      </c>
      <c r="I410" s="261" t="s">
        <v>792</v>
      </c>
      <c r="J410" s="261" t="s">
        <v>792</v>
      </c>
      <c r="K410" s="261" t="s">
        <v>792</v>
      </c>
      <c r="L410" s="261" t="s">
        <v>792</v>
      </c>
      <c r="M410" s="261" t="s">
        <v>792</v>
      </c>
      <c r="N410" s="261" t="s">
        <v>792</v>
      </c>
      <c r="O410" s="261" t="s">
        <v>792</v>
      </c>
      <c r="P410" s="261" t="s">
        <v>792</v>
      </c>
      <c r="Q410" s="261" t="s">
        <v>792</v>
      </c>
      <c r="R410" s="261" t="s">
        <v>792</v>
      </c>
      <c r="S410" s="261" t="s">
        <v>792</v>
      </c>
      <c r="T410" s="261" t="s">
        <v>792</v>
      </c>
      <c r="U410" s="261" t="s">
        <v>792</v>
      </c>
      <c r="V410" s="261" t="s">
        <v>792</v>
      </c>
      <c r="W410" s="261" t="s">
        <v>792</v>
      </c>
      <c r="X410" s="261" t="s">
        <v>792</v>
      </c>
      <c r="Y410" s="261" t="s">
        <v>792</v>
      </c>
      <c r="Z410" s="261" t="s">
        <v>792</v>
      </c>
      <c r="AA410" s="261" t="s">
        <v>792</v>
      </c>
      <c r="AB410" s="261" t="s">
        <v>792</v>
      </c>
      <c r="AC410" s="261" t="s">
        <v>792</v>
      </c>
      <c r="AD410" s="261" t="s">
        <v>792</v>
      </c>
      <c r="AE410" s="261" t="s">
        <v>792</v>
      </c>
      <c r="AF410" s="261" t="s">
        <v>792</v>
      </c>
      <c r="AG410" s="261" t="s">
        <v>792</v>
      </c>
      <c r="AH410" s="261" t="s">
        <v>792</v>
      </c>
      <c r="AI410" s="261" t="s">
        <v>792</v>
      </c>
      <c r="AJ410" s="261" t="s">
        <v>792</v>
      </c>
      <c r="AK410" s="261" t="s">
        <v>792</v>
      </c>
      <c r="AL410" s="261" t="s">
        <v>792</v>
      </c>
      <c r="AM410" s="261" t="s">
        <v>792</v>
      </c>
      <c r="AN410" s="261" t="s">
        <v>792</v>
      </c>
      <c r="AO410" s="261" t="s">
        <v>792</v>
      </c>
      <c r="AP410" s="261" t="s">
        <v>792</v>
      </c>
      <c r="AQ410" s="261" t="s">
        <v>792</v>
      </c>
      <c r="AR410" s="261" t="s">
        <v>792</v>
      </c>
      <c r="AS410" s="261" t="s">
        <v>792</v>
      </c>
      <c r="AT410" s="261" t="s">
        <v>792</v>
      </c>
      <c r="AU410" s="261" t="s">
        <v>792</v>
      </c>
      <c r="AV410" s="261" t="s">
        <v>792</v>
      </c>
      <c r="AW410" s="261" t="s">
        <v>792</v>
      </c>
      <c r="AX410" s="261" t="s">
        <v>792</v>
      </c>
      <c r="AY410" s="261" t="s">
        <v>792</v>
      </c>
      <c r="AZ410" s="261" t="s">
        <v>792</v>
      </c>
      <c r="BA410" s="261" t="s">
        <v>792</v>
      </c>
      <c r="BB410" s="261" t="s">
        <v>792</v>
      </c>
      <c r="BC410" s="261" t="s">
        <v>792</v>
      </c>
      <c r="BD410" s="261" t="s">
        <v>792</v>
      </c>
      <c r="BE410" s="261" t="s">
        <v>792</v>
      </c>
      <c r="BF410" s="261" t="s">
        <v>792</v>
      </c>
    </row>
    <row r="411" spans="1:58" x14ac:dyDescent="0.3">
      <c r="A411" s="260" t="s">
        <v>1112</v>
      </c>
      <c r="B411" s="261" t="s">
        <v>792</v>
      </c>
      <c r="C411" s="261" t="s">
        <v>792</v>
      </c>
      <c r="D411" s="261" t="s">
        <v>792</v>
      </c>
      <c r="E411" s="261" t="s">
        <v>792</v>
      </c>
      <c r="F411" s="261" t="s">
        <v>792</v>
      </c>
      <c r="G411" s="261" t="s">
        <v>792</v>
      </c>
      <c r="H411" s="261" t="s">
        <v>792</v>
      </c>
      <c r="I411" s="261" t="s">
        <v>792</v>
      </c>
      <c r="J411" s="261" t="s">
        <v>792</v>
      </c>
      <c r="K411" s="261" t="s">
        <v>792</v>
      </c>
      <c r="L411" s="261" t="s">
        <v>792</v>
      </c>
      <c r="M411" s="261" t="s">
        <v>792</v>
      </c>
      <c r="N411" s="261" t="s">
        <v>792</v>
      </c>
      <c r="O411" s="261" t="s">
        <v>792</v>
      </c>
      <c r="P411" s="261" t="s">
        <v>792</v>
      </c>
      <c r="Q411" s="261" t="s">
        <v>792</v>
      </c>
      <c r="R411" s="261" t="s">
        <v>792</v>
      </c>
      <c r="S411" s="261" t="s">
        <v>792</v>
      </c>
      <c r="T411" s="261" t="s">
        <v>792</v>
      </c>
      <c r="U411" s="261" t="s">
        <v>792</v>
      </c>
      <c r="V411" s="261" t="s">
        <v>792</v>
      </c>
      <c r="W411" s="261" t="s">
        <v>792</v>
      </c>
      <c r="X411" s="261" t="s">
        <v>792</v>
      </c>
      <c r="Y411" s="261" t="s">
        <v>792</v>
      </c>
      <c r="Z411" s="261" t="s">
        <v>792</v>
      </c>
      <c r="AA411" s="261" t="s">
        <v>792</v>
      </c>
      <c r="AB411" s="261" t="s">
        <v>792</v>
      </c>
      <c r="AC411" s="261" t="s">
        <v>792</v>
      </c>
      <c r="AD411" s="261" t="s">
        <v>792</v>
      </c>
      <c r="AE411" s="261" t="s">
        <v>792</v>
      </c>
      <c r="AF411" s="261" t="s">
        <v>792</v>
      </c>
      <c r="AG411" s="261" t="s">
        <v>792</v>
      </c>
      <c r="AH411" s="261" t="s">
        <v>792</v>
      </c>
      <c r="AI411" s="261" t="s">
        <v>792</v>
      </c>
      <c r="AJ411" s="261" t="s">
        <v>792</v>
      </c>
      <c r="AK411" s="261" t="s">
        <v>792</v>
      </c>
      <c r="AL411" s="261" t="s">
        <v>792</v>
      </c>
      <c r="AM411" s="261" t="s">
        <v>792</v>
      </c>
      <c r="AN411" s="261" t="s">
        <v>792</v>
      </c>
      <c r="AO411" s="261" t="s">
        <v>792</v>
      </c>
      <c r="AP411" s="261" t="s">
        <v>792</v>
      </c>
      <c r="AQ411" s="261" t="s">
        <v>792</v>
      </c>
      <c r="AR411" s="261" t="s">
        <v>792</v>
      </c>
      <c r="AS411" s="261" t="s">
        <v>792</v>
      </c>
      <c r="AT411" s="261" t="s">
        <v>792</v>
      </c>
      <c r="AU411" s="261" t="s">
        <v>792</v>
      </c>
      <c r="AV411" s="261" t="s">
        <v>792</v>
      </c>
      <c r="AW411" s="261" t="s">
        <v>792</v>
      </c>
      <c r="AX411" s="261" t="s">
        <v>792</v>
      </c>
      <c r="AY411" s="261" t="s">
        <v>792</v>
      </c>
      <c r="AZ411" s="261" t="s">
        <v>792</v>
      </c>
      <c r="BA411" s="261" t="s">
        <v>792</v>
      </c>
      <c r="BB411" s="261" t="s">
        <v>792</v>
      </c>
      <c r="BC411" s="261" t="s">
        <v>792</v>
      </c>
      <c r="BD411" s="261" t="s">
        <v>792</v>
      </c>
      <c r="BE411" s="261" t="s">
        <v>792</v>
      </c>
      <c r="BF411" s="261" t="s">
        <v>792</v>
      </c>
    </row>
    <row r="412" spans="1:58" x14ac:dyDescent="0.3">
      <c r="A412" s="258" t="s">
        <v>1113</v>
      </c>
      <c r="B412" s="264" t="s">
        <v>792</v>
      </c>
      <c r="C412" s="264" t="s">
        <v>792</v>
      </c>
      <c r="D412" s="264" t="s">
        <v>792</v>
      </c>
      <c r="E412" s="264" t="s">
        <v>792</v>
      </c>
      <c r="F412" s="264" t="s">
        <v>792</v>
      </c>
      <c r="G412" s="264" t="s">
        <v>792</v>
      </c>
      <c r="H412" s="264" t="s">
        <v>792</v>
      </c>
      <c r="I412" s="264" t="s">
        <v>792</v>
      </c>
      <c r="J412" s="264" t="s">
        <v>792</v>
      </c>
      <c r="K412" s="264" t="s">
        <v>792</v>
      </c>
      <c r="L412" s="264" t="s">
        <v>792</v>
      </c>
      <c r="M412" s="264" t="s">
        <v>792</v>
      </c>
      <c r="N412" s="264" t="s">
        <v>792</v>
      </c>
      <c r="O412" s="264" t="s">
        <v>792</v>
      </c>
      <c r="P412" s="264" t="s">
        <v>792</v>
      </c>
      <c r="Q412" s="264" t="s">
        <v>792</v>
      </c>
      <c r="R412" s="264" t="s">
        <v>792</v>
      </c>
      <c r="S412" s="264" t="s">
        <v>792</v>
      </c>
      <c r="T412" s="264" t="s">
        <v>792</v>
      </c>
      <c r="U412" s="264" t="s">
        <v>792</v>
      </c>
      <c r="V412" s="264" t="s">
        <v>792</v>
      </c>
      <c r="W412" s="264" t="s">
        <v>792</v>
      </c>
      <c r="X412" s="264" t="s">
        <v>792</v>
      </c>
      <c r="Y412" s="264" t="s">
        <v>792</v>
      </c>
      <c r="Z412" s="264" t="s">
        <v>792</v>
      </c>
      <c r="AA412" s="264" t="s">
        <v>792</v>
      </c>
      <c r="AB412" s="264" t="s">
        <v>792</v>
      </c>
      <c r="AC412" s="264" t="s">
        <v>792</v>
      </c>
      <c r="AD412" s="264" t="s">
        <v>792</v>
      </c>
      <c r="AE412" s="264" t="s">
        <v>792</v>
      </c>
      <c r="AF412" s="264" t="s">
        <v>792</v>
      </c>
      <c r="AG412" s="264" t="s">
        <v>792</v>
      </c>
      <c r="AH412" s="264" t="s">
        <v>792</v>
      </c>
      <c r="AI412" s="264" t="s">
        <v>792</v>
      </c>
      <c r="AJ412" s="264" t="s">
        <v>792</v>
      </c>
      <c r="AK412" s="264" t="s">
        <v>792</v>
      </c>
      <c r="AL412" s="264" t="s">
        <v>792</v>
      </c>
      <c r="AM412" s="264" t="s">
        <v>792</v>
      </c>
      <c r="AN412" s="264" t="s">
        <v>792</v>
      </c>
      <c r="AO412" s="264" t="s">
        <v>792</v>
      </c>
      <c r="AP412" s="264" t="s">
        <v>792</v>
      </c>
      <c r="AQ412" s="264" t="s">
        <v>792</v>
      </c>
      <c r="AR412" s="264" t="s">
        <v>792</v>
      </c>
      <c r="AS412" s="264" t="s">
        <v>792</v>
      </c>
      <c r="AT412" s="264" t="s">
        <v>792</v>
      </c>
      <c r="AU412" s="264" t="s">
        <v>792</v>
      </c>
      <c r="AV412" s="264" t="s">
        <v>792</v>
      </c>
      <c r="AW412" s="264" t="s">
        <v>792</v>
      </c>
      <c r="AX412" s="264" t="s">
        <v>792</v>
      </c>
      <c r="AY412" s="264" t="s">
        <v>792</v>
      </c>
      <c r="AZ412" s="264" t="s">
        <v>792</v>
      </c>
      <c r="BA412" s="264" t="s">
        <v>792</v>
      </c>
      <c r="BB412" s="264" t="s">
        <v>792</v>
      </c>
      <c r="BC412" s="264" t="s">
        <v>792</v>
      </c>
      <c r="BD412" s="264" t="s">
        <v>792</v>
      </c>
      <c r="BE412" s="264" t="s">
        <v>792</v>
      </c>
      <c r="BF412" s="264" t="s">
        <v>792</v>
      </c>
    </row>
    <row r="413" spans="1:58" x14ac:dyDescent="0.3">
      <c r="A413" s="258" t="s">
        <v>1114</v>
      </c>
      <c r="B413" s="264" t="s">
        <v>792</v>
      </c>
      <c r="C413" s="264" t="s">
        <v>792</v>
      </c>
      <c r="D413" s="264" t="s">
        <v>792</v>
      </c>
      <c r="E413" s="264" t="s">
        <v>792</v>
      </c>
      <c r="F413" s="264" t="s">
        <v>792</v>
      </c>
      <c r="G413" s="264" t="s">
        <v>792</v>
      </c>
      <c r="H413" s="264" t="s">
        <v>792</v>
      </c>
      <c r="I413" s="264" t="s">
        <v>792</v>
      </c>
      <c r="J413" s="264" t="s">
        <v>792</v>
      </c>
      <c r="K413" s="264" t="s">
        <v>792</v>
      </c>
      <c r="L413" s="264" t="s">
        <v>792</v>
      </c>
      <c r="M413" s="264" t="s">
        <v>792</v>
      </c>
      <c r="N413" s="264" t="s">
        <v>792</v>
      </c>
      <c r="O413" s="264" t="s">
        <v>792</v>
      </c>
      <c r="P413" s="264" t="s">
        <v>792</v>
      </c>
      <c r="Q413" s="264" t="s">
        <v>792</v>
      </c>
      <c r="R413" s="264" t="s">
        <v>792</v>
      </c>
      <c r="S413" s="264" t="s">
        <v>792</v>
      </c>
      <c r="T413" s="264" t="s">
        <v>792</v>
      </c>
      <c r="U413" s="264" t="s">
        <v>792</v>
      </c>
      <c r="V413" s="264" t="s">
        <v>792</v>
      </c>
      <c r="W413" s="264" t="s">
        <v>792</v>
      </c>
      <c r="X413" s="264" t="s">
        <v>792</v>
      </c>
      <c r="Y413" s="264" t="s">
        <v>792</v>
      </c>
      <c r="Z413" s="264" t="s">
        <v>792</v>
      </c>
      <c r="AA413" s="264" t="s">
        <v>792</v>
      </c>
      <c r="AB413" s="264" t="s">
        <v>792</v>
      </c>
      <c r="AC413" s="264" t="s">
        <v>792</v>
      </c>
      <c r="AD413" s="264" t="s">
        <v>792</v>
      </c>
      <c r="AE413" s="264" t="s">
        <v>792</v>
      </c>
      <c r="AF413" s="264" t="s">
        <v>792</v>
      </c>
      <c r="AG413" s="264" t="s">
        <v>792</v>
      </c>
      <c r="AH413" s="264" t="s">
        <v>792</v>
      </c>
      <c r="AI413" s="264" t="s">
        <v>792</v>
      </c>
      <c r="AJ413" s="264" t="s">
        <v>792</v>
      </c>
      <c r="AK413" s="264" t="s">
        <v>792</v>
      </c>
      <c r="AL413" s="264" t="s">
        <v>792</v>
      </c>
      <c r="AM413" s="264" t="s">
        <v>792</v>
      </c>
      <c r="AN413" s="264" t="s">
        <v>792</v>
      </c>
      <c r="AO413" s="264" t="s">
        <v>792</v>
      </c>
      <c r="AP413" s="264" t="s">
        <v>792</v>
      </c>
      <c r="AQ413" s="264" t="s">
        <v>792</v>
      </c>
      <c r="AR413" s="264" t="s">
        <v>792</v>
      </c>
      <c r="AS413" s="264" t="s">
        <v>792</v>
      </c>
      <c r="AT413" s="264" t="s">
        <v>792</v>
      </c>
      <c r="AU413" s="264" t="s">
        <v>792</v>
      </c>
      <c r="AV413" s="264" t="s">
        <v>792</v>
      </c>
      <c r="AW413" s="264" t="s">
        <v>792</v>
      </c>
      <c r="AX413" s="264" t="s">
        <v>792</v>
      </c>
      <c r="AY413" s="264" t="s">
        <v>792</v>
      </c>
      <c r="AZ413" s="264" t="s">
        <v>792</v>
      </c>
      <c r="BA413" s="264" t="s">
        <v>792</v>
      </c>
      <c r="BB413" s="264" t="s">
        <v>792</v>
      </c>
      <c r="BC413" s="264" t="s">
        <v>792</v>
      </c>
      <c r="BD413" s="264" t="s">
        <v>792</v>
      </c>
      <c r="BE413" s="264" t="s">
        <v>792</v>
      </c>
      <c r="BF413" s="264" t="s">
        <v>792</v>
      </c>
    </row>
    <row r="414" spans="1:58" x14ac:dyDescent="0.3">
      <c r="A414" s="258" t="s">
        <v>1115</v>
      </c>
      <c r="B414" s="264" t="s">
        <v>792</v>
      </c>
      <c r="C414" s="264" t="s">
        <v>792</v>
      </c>
      <c r="D414" s="264" t="s">
        <v>792</v>
      </c>
      <c r="E414" s="264" t="s">
        <v>792</v>
      </c>
      <c r="F414" s="264" t="s">
        <v>792</v>
      </c>
      <c r="G414" s="264" t="s">
        <v>792</v>
      </c>
      <c r="H414" s="264" t="s">
        <v>792</v>
      </c>
      <c r="I414" s="264" t="s">
        <v>792</v>
      </c>
      <c r="J414" s="264" t="s">
        <v>792</v>
      </c>
      <c r="K414" s="264" t="s">
        <v>792</v>
      </c>
      <c r="L414" s="264" t="s">
        <v>792</v>
      </c>
      <c r="M414" s="264" t="s">
        <v>792</v>
      </c>
      <c r="N414" s="264" t="s">
        <v>792</v>
      </c>
      <c r="O414" s="264" t="s">
        <v>792</v>
      </c>
      <c r="P414" s="264" t="s">
        <v>792</v>
      </c>
      <c r="Q414" s="264" t="s">
        <v>792</v>
      </c>
      <c r="R414" s="264" t="s">
        <v>792</v>
      </c>
      <c r="S414" s="264" t="s">
        <v>792</v>
      </c>
      <c r="T414" s="264" t="s">
        <v>792</v>
      </c>
      <c r="U414" s="264" t="s">
        <v>792</v>
      </c>
      <c r="V414" s="264" t="s">
        <v>792</v>
      </c>
      <c r="W414" s="264" t="s">
        <v>792</v>
      </c>
      <c r="X414" s="264" t="s">
        <v>792</v>
      </c>
      <c r="Y414" s="264" t="s">
        <v>792</v>
      </c>
      <c r="Z414" s="264" t="s">
        <v>792</v>
      </c>
      <c r="AA414" s="264" t="s">
        <v>792</v>
      </c>
      <c r="AB414" s="264" t="s">
        <v>792</v>
      </c>
      <c r="AC414" s="264" t="s">
        <v>792</v>
      </c>
      <c r="AD414" s="264" t="s">
        <v>792</v>
      </c>
      <c r="AE414" s="264" t="s">
        <v>792</v>
      </c>
      <c r="AF414" s="264" t="s">
        <v>792</v>
      </c>
      <c r="AG414" s="264" t="s">
        <v>792</v>
      </c>
      <c r="AH414" s="264" t="s">
        <v>792</v>
      </c>
      <c r="AI414" s="264" t="s">
        <v>792</v>
      </c>
      <c r="AJ414" s="264" t="s">
        <v>792</v>
      </c>
      <c r="AK414" s="264" t="s">
        <v>792</v>
      </c>
      <c r="AL414" s="264" t="s">
        <v>792</v>
      </c>
      <c r="AM414" s="264" t="s">
        <v>792</v>
      </c>
      <c r="AN414" s="264" t="s">
        <v>792</v>
      </c>
      <c r="AO414" s="264" t="s">
        <v>792</v>
      </c>
      <c r="AP414" s="264" t="s">
        <v>792</v>
      </c>
      <c r="AQ414" s="264" t="s">
        <v>792</v>
      </c>
      <c r="AR414" s="264" t="s">
        <v>792</v>
      </c>
      <c r="AS414" s="264" t="s">
        <v>792</v>
      </c>
      <c r="AT414" s="264" t="s">
        <v>792</v>
      </c>
      <c r="AU414" s="264" t="s">
        <v>792</v>
      </c>
      <c r="AV414" s="264" t="s">
        <v>792</v>
      </c>
      <c r="AW414" s="264" t="s">
        <v>792</v>
      </c>
      <c r="AX414" s="264" t="s">
        <v>792</v>
      </c>
      <c r="AY414" s="264" t="s">
        <v>792</v>
      </c>
      <c r="AZ414" s="264" t="s">
        <v>792</v>
      </c>
      <c r="BA414" s="264" t="s">
        <v>792</v>
      </c>
      <c r="BB414" s="264" t="s">
        <v>792</v>
      </c>
      <c r="BC414" s="264" t="s">
        <v>792</v>
      </c>
      <c r="BD414" s="264" t="s">
        <v>792</v>
      </c>
      <c r="BE414" s="264" t="s">
        <v>792</v>
      </c>
      <c r="BF414" s="264" t="s">
        <v>792</v>
      </c>
    </row>
    <row r="415" spans="1:58" x14ac:dyDescent="0.3">
      <c r="A415" s="258" t="s">
        <v>1116</v>
      </c>
      <c r="B415" s="264" t="s">
        <v>792</v>
      </c>
      <c r="C415" s="264" t="s">
        <v>792</v>
      </c>
      <c r="D415" s="264" t="s">
        <v>792</v>
      </c>
      <c r="E415" s="264" t="s">
        <v>792</v>
      </c>
      <c r="F415" s="264" t="s">
        <v>792</v>
      </c>
      <c r="G415" s="264" t="s">
        <v>792</v>
      </c>
      <c r="H415" s="264" t="s">
        <v>792</v>
      </c>
      <c r="I415" s="264" t="s">
        <v>792</v>
      </c>
      <c r="J415" s="264" t="s">
        <v>792</v>
      </c>
      <c r="K415" s="264" t="s">
        <v>792</v>
      </c>
      <c r="L415" s="264" t="s">
        <v>792</v>
      </c>
      <c r="M415" s="264" t="s">
        <v>792</v>
      </c>
      <c r="N415" s="264" t="s">
        <v>792</v>
      </c>
      <c r="O415" s="264" t="s">
        <v>792</v>
      </c>
      <c r="P415" s="264" t="s">
        <v>792</v>
      </c>
      <c r="Q415" s="264" t="s">
        <v>792</v>
      </c>
      <c r="R415" s="264" t="s">
        <v>792</v>
      </c>
      <c r="S415" s="264" t="s">
        <v>792</v>
      </c>
      <c r="T415" s="264" t="s">
        <v>792</v>
      </c>
      <c r="U415" s="264" t="s">
        <v>792</v>
      </c>
      <c r="V415" s="264" t="s">
        <v>792</v>
      </c>
      <c r="W415" s="264" t="s">
        <v>792</v>
      </c>
      <c r="X415" s="264" t="s">
        <v>792</v>
      </c>
      <c r="Y415" s="264" t="s">
        <v>792</v>
      </c>
      <c r="Z415" s="264" t="s">
        <v>792</v>
      </c>
      <c r="AA415" s="264" t="s">
        <v>792</v>
      </c>
      <c r="AB415" s="264" t="s">
        <v>792</v>
      </c>
      <c r="AC415" s="264" t="s">
        <v>792</v>
      </c>
      <c r="AD415" s="264" t="s">
        <v>792</v>
      </c>
      <c r="AE415" s="264" t="s">
        <v>792</v>
      </c>
      <c r="AF415" s="264" t="s">
        <v>792</v>
      </c>
      <c r="AG415" s="264" t="s">
        <v>792</v>
      </c>
      <c r="AH415" s="264" t="s">
        <v>792</v>
      </c>
      <c r="AI415" s="264" t="s">
        <v>792</v>
      </c>
      <c r="AJ415" s="264" t="s">
        <v>792</v>
      </c>
      <c r="AK415" s="264" t="s">
        <v>792</v>
      </c>
      <c r="AL415" s="264" t="s">
        <v>792</v>
      </c>
      <c r="AM415" s="264" t="s">
        <v>792</v>
      </c>
      <c r="AN415" s="264" t="s">
        <v>792</v>
      </c>
      <c r="AO415" s="264" t="s">
        <v>792</v>
      </c>
      <c r="AP415" s="264" t="s">
        <v>792</v>
      </c>
      <c r="AQ415" s="264" t="s">
        <v>792</v>
      </c>
      <c r="AR415" s="264" t="s">
        <v>792</v>
      </c>
      <c r="AS415" s="264" t="s">
        <v>792</v>
      </c>
      <c r="AT415" s="264" t="s">
        <v>792</v>
      </c>
      <c r="AU415" s="264" t="s">
        <v>792</v>
      </c>
      <c r="AV415" s="264" t="s">
        <v>792</v>
      </c>
      <c r="AW415" s="264" t="s">
        <v>792</v>
      </c>
      <c r="AX415" s="264" t="s">
        <v>792</v>
      </c>
      <c r="AY415" s="264" t="s">
        <v>792</v>
      </c>
      <c r="AZ415" s="264" t="s">
        <v>792</v>
      </c>
      <c r="BA415" s="264" t="s">
        <v>792</v>
      </c>
      <c r="BB415" s="264" t="s">
        <v>792</v>
      </c>
      <c r="BC415" s="264" t="s">
        <v>792</v>
      </c>
      <c r="BD415" s="264" t="s">
        <v>792</v>
      </c>
      <c r="BE415" s="264" t="s">
        <v>792</v>
      </c>
      <c r="BF415" s="264" t="s">
        <v>792</v>
      </c>
    </row>
    <row r="416" spans="1:58" x14ac:dyDescent="0.3">
      <c r="A416" s="258" t="s">
        <v>1117</v>
      </c>
      <c r="B416" s="264" t="s">
        <v>792</v>
      </c>
      <c r="C416" s="264" t="s">
        <v>792</v>
      </c>
      <c r="D416" s="264" t="s">
        <v>792</v>
      </c>
      <c r="E416" s="264" t="s">
        <v>792</v>
      </c>
      <c r="F416" s="264" t="s">
        <v>792</v>
      </c>
      <c r="G416" s="264" t="s">
        <v>792</v>
      </c>
      <c r="H416" s="264" t="s">
        <v>792</v>
      </c>
      <c r="I416" s="264" t="s">
        <v>792</v>
      </c>
      <c r="J416" s="264" t="s">
        <v>792</v>
      </c>
      <c r="K416" s="264" t="s">
        <v>792</v>
      </c>
      <c r="L416" s="264" t="s">
        <v>792</v>
      </c>
      <c r="M416" s="264" t="s">
        <v>792</v>
      </c>
      <c r="N416" s="264" t="s">
        <v>792</v>
      </c>
      <c r="O416" s="264" t="s">
        <v>792</v>
      </c>
      <c r="P416" s="264" t="s">
        <v>792</v>
      </c>
      <c r="Q416" s="264" t="s">
        <v>792</v>
      </c>
      <c r="R416" s="264" t="s">
        <v>792</v>
      </c>
      <c r="S416" s="264" t="s">
        <v>792</v>
      </c>
      <c r="T416" s="264" t="s">
        <v>792</v>
      </c>
      <c r="U416" s="264" t="s">
        <v>792</v>
      </c>
      <c r="V416" s="264" t="s">
        <v>792</v>
      </c>
      <c r="W416" s="264" t="s">
        <v>792</v>
      </c>
      <c r="X416" s="264" t="s">
        <v>792</v>
      </c>
      <c r="Y416" s="264" t="s">
        <v>792</v>
      </c>
      <c r="Z416" s="264" t="s">
        <v>792</v>
      </c>
      <c r="AA416" s="264" t="s">
        <v>792</v>
      </c>
      <c r="AB416" s="264" t="s">
        <v>792</v>
      </c>
      <c r="AC416" s="264" t="s">
        <v>792</v>
      </c>
      <c r="AD416" s="264" t="s">
        <v>792</v>
      </c>
      <c r="AE416" s="264" t="s">
        <v>792</v>
      </c>
      <c r="AF416" s="264" t="s">
        <v>792</v>
      </c>
      <c r="AG416" s="264" t="s">
        <v>792</v>
      </c>
      <c r="AH416" s="264" t="s">
        <v>792</v>
      </c>
      <c r="AI416" s="264" t="s">
        <v>792</v>
      </c>
      <c r="AJ416" s="264" t="s">
        <v>792</v>
      </c>
      <c r="AK416" s="264" t="s">
        <v>792</v>
      </c>
      <c r="AL416" s="264" t="s">
        <v>792</v>
      </c>
      <c r="AM416" s="264" t="s">
        <v>792</v>
      </c>
      <c r="AN416" s="264" t="s">
        <v>792</v>
      </c>
      <c r="AO416" s="264" t="s">
        <v>792</v>
      </c>
      <c r="AP416" s="264" t="s">
        <v>792</v>
      </c>
      <c r="AQ416" s="264" t="s">
        <v>792</v>
      </c>
      <c r="AR416" s="264" t="s">
        <v>792</v>
      </c>
      <c r="AS416" s="264" t="s">
        <v>792</v>
      </c>
      <c r="AT416" s="264" t="s">
        <v>792</v>
      </c>
      <c r="AU416" s="264" t="s">
        <v>792</v>
      </c>
      <c r="AV416" s="264" t="s">
        <v>792</v>
      </c>
      <c r="AW416" s="264" t="s">
        <v>792</v>
      </c>
      <c r="AX416" s="264" t="s">
        <v>792</v>
      </c>
      <c r="AY416" s="264" t="s">
        <v>792</v>
      </c>
      <c r="AZ416" s="264" t="s">
        <v>792</v>
      </c>
      <c r="BA416" s="264" t="s">
        <v>792</v>
      </c>
      <c r="BB416" s="264" t="s">
        <v>792</v>
      </c>
      <c r="BC416" s="264" t="s">
        <v>792</v>
      </c>
      <c r="BD416" s="264" t="s">
        <v>792</v>
      </c>
      <c r="BE416" s="264" t="s">
        <v>792</v>
      </c>
      <c r="BF416" s="264" t="s">
        <v>792</v>
      </c>
    </row>
    <row r="417" spans="1:58" x14ac:dyDescent="0.3">
      <c r="A417" s="258" t="s">
        <v>1118</v>
      </c>
      <c r="B417" s="264" t="s">
        <v>792</v>
      </c>
      <c r="C417" s="264" t="s">
        <v>792</v>
      </c>
      <c r="D417" s="264" t="s">
        <v>792</v>
      </c>
      <c r="E417" s="264" t="s">
        <v>792</v>
      </c>
      <c r="F417" s="264" t="s">
        <v>792</v>
      </c>
      <c r="G417" s="264" t="s">
        <v>792</v>
      </c>
      <c r="H417" s="264" t="s">
        <v>792</v>
      </c>
      <c r="I417" s="264" t="s">
        <v>792</v>
      </c>
      <c r="J417" s="264" t="s">
        <v>792</v>
      </c>
      <c r="K417" s="264" t="s">
        <v>792</v>
      </c>
      <c r="L417" s="264" t="s">
        <v>792</v>
      </c>
      <c r="M417" s="264" t="s">
        <v>792</v>
      </c>
      <c r="N417" s="264" t="s">
        <v>792</v>
      </c>
      <c r="O417" s="264" t="s">
        <v>792</v>
      </c>
      <c r="P417" s="264" t="s">
        <v>792</v>
      </c>
      <c r="Q417" s="264" t="s">
        <v>792</v>
      </c>
      <c r="R417" s="264" t="s">
        <v>792</v>
      </c>
      <c r="S417" s="264" t="s">
        <v>792</v>
      </c>
      <c r="T417" s="264" t="s">
        <v>792</v>
      </c>
      <c r="U417" s="264" t="s">
        <v>792</v>
      </c>
      <c r="V417" s="264" t="s">
        <v>792</v>
      </c>
      <c r="W417" s="264" t="s">
        <v>792</v>
      </c>
      <c r="X417" s="264" t="s">
        <v>792</v>
      </c>
      <c r="Y417" s="264" t="s">
        <v>792</v>
      </c>
      <c r="Z417" s="264" t="s">
        <v>792</v>
      </c>
      <c r="AA417" s="264" t="s">
        <v>792</v>
      </c>
      <c r="AB417" s="264" t="s">
        <v>792</v>
      </c>
      <c r="AC417" s="264" t="s">
        <v>792</v>
      </c>
      <c r="AD417" s="264" t="s">
        <v>792</v>
      </c>
      <c r="AE417" s="264" t="s">
        <v>792</v>
      </c>
      <c r="AF417" s="264" t="s">
        <v>792</v>
      </c>
      <c r="AG417" s="264" t="s">
        <v>792</v>
      </c>
      <c r="AH417" s="264" t="s">
        <v>792</v>
      </c>
      <c r="AI417" s="264" t="s">
        <v>792</v>
      </c>
      <c r="AJ417" s="264" t="s">
        <v>792</v>
      </c>
      <c r="AK417" s="264" t="s">
        <v>792</v>
      </c>
      <c r="AL417" s="264" t="s">
        <v>792</v>
      </c>
      <c r="AM417" s="264" t="s">
        <v>792</v>
      </c>
      <c r="AN417" s="264" t="s">
        <v>792</v>
      </c>
      <c r="AO417" s="264" t="s">
        <v>792</v>
      </c>
      <c r="AP417" s="264" t="s">
        <v>792</v>
      </c>
      <c r="AQ417" s="264" t="s">
        <v>792</v>
      </c>
      <c r="AR417" s="264" t="s">
        <v>792</v>
      </c>
      <c r="AS417" s="264" t="s">
        <v>792</v>
      </c>
      <c r="AT417" s="264" t="s">
        <v>792</v>
      </c>
      <c r="AU417" s="264" t="s">
        <v>792</v>
      </c>
      <c r="AV417" s="264" t="s">
        <v>792</v>
      </c>
      <c r="AW417" s="264" t="s">
        <v>792</v>
      </c>
      <c r="AX417" s="264" t="s">
        <v>792</v>
      </c>
      <c r="AY417" s="264" t="s">
        <v>792</v>
      </c>
      <c r="AZ417" s="264" t="s">
        <v>792</v>
      </c>
      <c r="BA417" s="264" t="s">
        <v>792</v>
      </c>
      <c r="BB417" s="264" t="s">
        <v>792</v>
      </c>
      <c r="BC417" s="264" t="s">
        <v>792</v>
      </c>
      <c r="BD417" s="264" t="s">
        <v>792</v>
      </c>
      <c r="BE417" s="264" t="s">
        <v>792</v>
      </c>
      <c r="BF417" s="264" t="s">
        <v>792</v>
      </c>
    </row>
    <row r="418" spans="1:58" x14ac:dyDescent="0.3">
      <c r="A418" s="258" t="s">
        <v>1119</v>
      </c>
      <c r="B418" s="264" t="s">
        <v>792</v>
      </c>
      <c r="C418" s="264" t="s">
        <v>792</v>
      </c>
      <c r="D418" s="264" t="s">
        <v>792</v>
      </c>
      <c r="E418" s="264" t="s">
        <v>792</v>
      </c>
      <c r="F418" s="264" t="s">
        <v>792</v>
      </c>
      <c r="G418" s="264" t="s">
        <v>792</v>
      </c>
      <c r="H418" s="264" t="s">
        <v>792</v>
      </c>
      <c r="I418" s="264" t="s">
        <v>792</v>
      </c>
      <c r="J418" s="264" t="s">
        <v>792</v>
      </c>
      <c r="K418" s="264" t="s">
        <v>792</v>
      </c>
      <c r="L418" s="264" t="s">
        <v>792</v>
      </c>
      <c r="M418" s="264" t="s">
        <v>792</v>
      </c>
      <c r="N418" s="264" t="s">
        <v>792</v>
      </c>
      <c r="O418" s="264" t="s">
        <v>792</v>
      </c>
      <c r="P418" s="264" t="s">
        <v>792</v>
      </c>
      <c r="Q418" s="264" t="s">
        <v>792</v>
      </c>
      <c r="R418" s="264" t="s">
        <v>792</v>
      </c>
      <c r="S418" s="264" t="s">
        <v>792</v>
      </c>
      <c r="T418" s="264" t="s">
        <v>792</v>
      </c>
      <c r="U418" s="264" t="s">
        <v>792</v>
      </c>
      <c r="V418" s="264" t="s">
        <v>792</v>
      </c>
      <c r="W418" s="264" t="s">
        <v>792</v>
      </c>
      <c r="X418" s="264" t="s">
        <v>792</v>
      </c>
      <c r="Y418" s="264" t="s">
        <v>792</v>
      </c>
      <c r="Z418" s="264" t="s">
        <v>792</v>
      </c>
      <c r="AA418" s="264" t="s">
        <v>792</v>
      </c>
      <c r="AB418" s="264" t="s">
        <v>792</v>
      </c>
      <c r="AC418" s="264" t="s">
        <v>792</v>
      </c>
      <c r="AD418" s="264" t="s">
        <v>792</v>
      </c>
      <c r="AE418" s="264" t="s">
        <v>792</v>
      </c>
      <c r="AF418" s="264" t="s">
        <v>792</v>
      </c>
      <c r="AG418" s="264" t="s">
        <v>792</v>
      </c>
      <c r="AH418" s="264" t="s">
        <v>792</v>
      </c>
      <c r="AI418" s="264" t="s">
        <v>792</v>
      </c>
      <c r="AJ418" s="264" t="s">
        <v>792</v>
      </c>
      <c r="AK418" s="264" t="s">
        <v>792</v>
      </c>
      <c r="AL418" s="264" t="s">
        <v>792</v>
      </c>
      <c r="AM418" s="264" t="s">
        <v>792</v>
      </c>
      <c r="AN418" s="264" t="s">
        <v>792</v>
      </c>
      <c r="AO418" s="264" t="s">
        <v>792</v>
      </c>
      <c r="AP418" s="264" t="s">
        <v>792</v>
      </c>
      <c r="AQ418" s="264" t="s">
        <v>792</v>
      </c>
      <c r="AR418" s="264" t="s">
        <v>792</v>
      </c>
      <c r="AS418" s="264" t="s">
        <v>792</v>
      </c>
      <c r="AT418" s="264" t="s">
        <v>792</v>
      </c>
      <c r="AU418" s="264" t="s">
        <v>792</v>
      </c>
      <c r="AV418" s="264" t="s">
        <v>792</v>
      </c>
      <c r="AW418" s="264" t="s">
        <v>792</v>
      </c>
      <c r="AX418" s="264" t="s">
        <v>792</v>
      </c>
      <c r="AY418" s="264" t="s">
        <v>792</v>
      </c>
      <c r="AZ418" s="264" t="s">
        <v>792</v>
      </c>
      <c r="BA418" s="264" t="s">
        <v>792</v>
      </c>
      <c r="BB418" s="264" t="s">
        <v>792</v>
      </c>
      <c r="BC418" s="264" t="s">
        <v>792</v>
      </c>
      <c r="BD418" s="264" t="s">
        <v>792</v>
      </c>
      <c r="BE418" s="264" t="s">
        <v>792</v>
      </c>
      <c r="BF418" s="264" t="s">
        <v>792</v>
      </c>
    </row>
    <row r="419" spans="1:58" x14ac:dyDescent="0.3">
      <c r="A419" s="258" t="s">
        <v>1120</v>
      </c>
      <c r="B419" s="264" t="s">
        <v>792</v>
      </c>
      <c r="C419" s="264" t="s">
        <v>792</v>
      </c>
      <c r="D419" s="264" t="s">
        <v>792</v>
      </c>
      <c r="E419" s="264" t="s">
        <v>792</v>
      </c>
      <c r="F419" s="264" t="s">
        <v>792</v>
      </c>
      <c r="G419" s="264" t="s">
        <v>792</v>
      </c>
      <c r="H419" s="264" t="s">
        <v>792</v>
      </c>
      <c r="I419" s="264" t="s">
        <v>792</v>
      </c>
      <c r="J419" s="264" t="s">
        <v>792</v>
      </c>
      <c r="K419" s="264" t="s">
        <v>792</v>
      </c>
      <c r="L419" s="264" t="s">
        <v>792</v>
      </c>
      <c r="M419" s="264" t="s">
        <v>792</v>
      </c>
      <c r="N419" s="264" t="s">
        <v>792</v>
      </c>
      <c r="O419" s="264" t="s">
        <v>792</v>
      </c>
      <c r="P419" s="264" t="s">
        <v>792</v>
      </c>
      <c r="Q419" s="264" t="s">
        <v>792</v>
      </c>
      <c r="R419" s="264" t="s">
        <v>792</v>
      </c>
      <c r="S419" s="264" t="s">
        <v>792</v>
      </c>
      <c r="T419" s="264" t="s">
        <v>792</v>
      </c>
      <c r="U419" s="264" t="s">
        <v>792</v>
      </c>
      <c r="V419" s="264" t="s">
        <v>792</v>
      </c>
      <c r="W419" s="264" t="s">
        <v>792</v>
      </c>
      <c r="X419" s="264" t="s">
        <v>792</v>
      </c>
      <c r="Y419" s="264" t="s">
        <v>792</v>
      </c>
      <c r="Z419" s="264" t="s">
        <v>792</v>
      </c>
      <c r="AA419" s="264" t="s">
        <v>792</v>
      </c>
      <c r="AB419" s="264" t="s">
        <v>792</v>
      </c>
      <c r="AC419" s="264" t="s">
        <v>792</v>
      </c>
      <c r="AD419" s="264" t="s">
        <v>792</v>
      </c>
      <c r="AE419" s="264" t="s">
        <v>792</v>
      </c>
      <c r="AF419" s="264" t="s">
        <v>792</v>
      </c>
      <c r="AG419" s="264" t="s">
        <v>792</v>
      </c>
      <c r="AH419" s="264" t="s">
        <v>792</v>
      </c>
      <c r="AI419" s="264" t="s">
        <v>792</v>
      </c>
      <c r="AJ419" s="264" t="s">
        <v>792</v>
      </c>
      <c r="AK419" s="264" t="s">
        <v>792</v>
      </c>
      <c r="AL419" s="264" t="s">
        <v>792</v>
      </c>
      <c r="AM419" s="264" t="s">
        <v>792</v>
      </c>
      <c r="AN419" s="264" t="s">
        <v>792</v>
      </c>
      <c r="AO419" s="264" t="s">
        <v>792</v>
      </c>
      <c r="AP419" s="264" t="s">
        <v>792</v>
      </c>
      <c r="AQ419" s="264" t="s">
        <v>792</v>
      </c>
      <c r="AR419" s="264" t="s">
        <v>792</v>
      </c>
      <c r="AS419" s="264" t="s">
        <v>792</v>
      </c>
      <c r="AT419" s="264" t="s">
        <v>792</v>
      </c>
      <c r="AU419" s="264" t="s">
        <v>792</v>
      </c>
      <c r="AV419" s="264" t="s">
        <v>792</v>
      </c>
      <c r="AW419" s="264" t="s">
        <v>792</v>
      </c>
      <c r="AX419" s="264" t="s">
        <v>792</v>
      </c>
      <c r="AY419" s="264" t="s">
        <v>792</v>
      </c>
      <c r="AZ419" s="264" t="s">
        <v>792</v>
      </c>
      <c r="BA419" s="264" t="s">
        <v>792</v>
      </c>
      <c r="BB419" s="264" t="s">
        <v>792</v>
      </c>
      <c r="BC419" s="264" t="s">
        <v>792</v>
      </c>
      <c r="BD419" s="264" t="s">
        <v>792</v>
      </c>
      <c r="BE419" s="264" t="s">
        <v>792</v>
      </c>
      <c r="BF419" s="264" t="s">
        <v>792</v>
      </c>
    </row>
    <row r="420" spans="1:58" x14ac:dyDescent="0.3">
      <c r="A420" s="258" t="s">
        <v>1121</v>
      </c>
      <c r="B420" s="264" t="s">
        <v>792</v>
      </c>
      <c r="C420" s="264" t="s">
        <v>792</v>
      </c>
      <c r="D420" s="264" t="s">
        <v>792</v>
      </c>
      <c r="E420" s="264" t="s">
        <v>792</v>
      </c>
      <c r="F420" s="264" t="s">
        <v>792</v>
      </c>
      <c r="G420" s="264" t="s">
        <v>792</v>
      </c>
      <c r="H420" s="264" t="s">
        <v>792</v>
      </c>
      <c r="I420" s="264" t="s">
        <v>792</v>
      </c>
      <c r="J420" s="264" t="s">
        <v>792</v>
      </c>
      <c r="K420" s="264" t="s">
        <v>792</v>
      </c>
      <c r="L420" s="264" t="s">
        <v>792</v>
      </c>
      <c r="M420" s="264" t="s">
        <v>792</v>
      </c>
      <c r="N420" s="264" t="s">
        <v>792</v>
      </c>
      <c r="O420" s="264" t="s">
        <v>792</v>
      </c>
      <c r="P420" s="264" t="s">
        <v>792</v>
      </c>
      <c r="Q420" s="264" t="s">
        <v>792</v>
      </c>
      <c r="R420" s="264" t="s">
        <v>792</v>
      </c>
      <c r="S420" s="264" t="s">
        <v>792</v>
      </c>
      <c r="T420" s="264" t="s">
        <v>792</v>
      </c>
      <c r="U420" s="264" t="s">
        <v>792</v>
      </c>
      <c r="V420" s="264" t="s">
        <v>792</v>
      </c>
      <c r="W420" s="264" t="s">
        <v>792</v>
      </c>
      <c r="X420" s="264" t="s">
        <v>792</v>
      </c>
      <c r="Y420" s="264" t="s">
        <v>792</v>
      </c>
      <c r="Z420" s="264" t="s">
        <v>792</v>
      </c>
      <c r="AA420" s="264" t="s">
        <v>792</v>
      </c>
      <c r="AB420" s="264" t="s">
        <v>792</v>
      </c>
      <c r="AC420" s="264" t="s">
        <v>792</v>
      </c>
      <c r="AD420" s="264" t="s">
        <v>792</v>
      </c>
      <c r="AE420" s="264" t="s">
        <v>792</v>
      </c>
      <c r="AF420" s="264" t="s">
        <v>792</v>
      </c>
      <c r="AG420" s="264" t="s">
        <v>792</v>
      </c>
      <c r="AH420" s="264" t="s">
        <v>792</v>
      </c>
      <c r="AI420" s="264" t="s">
        <v>792</v>
      </c>
      <c r="AJ420" s="264" t="s">
        <v>792</v>
      </c>
      <c r="AK420" s="264" t="s">
        <v>792</v>
      </c>
      <c r="AL420" s="264" t="s">
        <v>792</v>
      </c>
      <c r="AM420" s="264" t="s">
        <v>792</v>
      </c>
      <c r="AN420" s="264" t="s">
        <v>792</v>
      </c>
      <c r="AO420" s="264" t="s">
        <v>792</v>
      </c>
      <c r="AP420" s="264" t="s">
        <v>792</v>
      </c>
      <c r="AQ420" s="264" t="s">
        <v>792</v>
      </c>
      <c r="AR420" s="264" t="s">
        <v>792</v>
      </c>
      <c r="AS420" s="264" t="s">
        <v>792</v>
      </c>
      <c r="AT420" s="264" t="s">
        <v>792</v>
      </c>
      <c r="AU420" s="264" t="s">
        <v>792</v>
      </c>
      <c r="AV420" s="264" t="s">
        <v>792</v>
      </c>
      <c r="AW420" s="264" t="s">
        <v>792</v>
      </c>
      <c r="AX420" s="264" t="s">
        <v>792</v>
      </c>
      <c r="AY420" s="264" t="s">
        <v>792</v>
      </c>
      <c r="AZ420" s="264" t="s">
        <v>792</v>
      </c>
      <c r="BA420" s="264" t="s">
        <v>792</v>
      </c>
      <c r="BB420" s="264" t="s">
        <v>792</v>
      </c>
      <c r="BC420" s="264" t="s">
        <v>792</v>
      </c>
      <c r="BD420" s="264" t="s">
        <v>792</v>
      </c>
      <c r="BE420" s="264" t="s">
        <v>792</v>
      </c>
      <c r="BF420" s="264" t="s">
        <v>792</v>
      </c>
    </row>
    <row r="421" spans="1:58" x14ac:dyDescent="0.3">
      <c r="A421" s="258" t="s">
        <v>1122</v>
      </c>
      <c r="B421" s="264" t="s">
        <v>792</v>
      </c>
      <c r="C421" s="264" t="s">
        <v>792</v>
      </c>
      <c r="D421" s="264" t="s">
        <v>792</v>
      </c>
      <c r="E421" s="264" t="s">
        <v>792</v>
      </c>
      <c r="F421" s="264" t="s">
        <v>792</v>
      </c>
      <c r="G421" s="264" t="s">
        <v>792</v>
      </c>
      <c r="H421" s="264" t="s">
        <v>792</v>
      </c>
      <c r="I421" s="264" t="s">
        <v>792</v>
      </c>
      <c r="J421" s="264" t="s">
        <v>792</v>
      </c>
      <c r="K421" s="264" t="s">
        <v>792</v>
      </c>
      <c r="L421" s="264" t="s">
        <v>792</v>
      </c>
      <c r="M421" s="264" t="s">
        <v>792</v>
      </c>
      <c r="N421" s="264" t="s">
        <v>792</v>
      </c>
      <c r="O421" s="264" t="s">
        <v>792</v>
      </c>
      <c r="P421" s="264" t="s">
        <v>792</v>
      </c>
      <c r="Q421" s="264" t="s">
        <v>792</v>
      </c>
      <c r="R421" s="264" t="s">
        <v>792</v>
      </c>
      <c r="S421" s="264" t="s">
        <v>792</v>
      </c>
      <c r="T421" s="264" t="s">
        <v>792</v>
      </c>
      <c r="U421" s="264" t="s">
        <v>792</v>
      </c>
      <c r="V421" s="264" t="s">
        <v>792</v>
      </c>
      <c r="W421" s="264" t="s">
        <v>792</v>
      </c>
      <c r="X421" s="264" t="s">
        <v>792</v>
      </c>
      <c r="Y421" s="264" t="s">
        <v>792</v>
      </c>
      <c r="Z421" s="264" t="s">
        <v>792</v>
      </c>
      <c r="AA421" s="264" t="s">
        <v>792</v>
      </c>
      <c r="AB421" s="264" t="s">
        <v>792</v>
      </c>
      <c r="AC421" s="264" t="s">
        <v>792</v>
      </c>
      <c r="AD421" s="264" t="s">
        <v>792</v>
      </c>
      <c r="AE421" s="264" t="s">
        <v>792</v>
      </c>
      <c r="AF421" s="264" t="s">
        <v>792</v>
      </c>
      <c r="AG421" s="264" t="s">
        <v>792</v>
      </c>
      <c r="AH421" s="264" t="s">
        <v>792</v>
      </c>
      <c r="AI421" s="264" t="s">
        <v>792</v>
      </c>
      <c r="AJ421" s="264" t="s">
        <v>792</v>
      </c>
      <c r="AK421" s="264" t="s">
        <v>792</v>
      </c>
      <c r="AL421" s="264" t="s">
        <v>792</v>
      </c>
      <c r="AM421" s="264" t="s">
        <v>792</v>
      </c>
      <c r="AN421" s="264" t="s">
        <v>792</v>
      </c>
      <c r="AO421" s="264" t="s">
        <v>792</v>
      </c>
      <c r="AP421" s="264" t="s">
        <v>792</v>
      </c>
      <c r="AQ421" s="264" t="s">
        <v>792</v>
      </c>
      <c r="AR421" s="264" t="s">
        <v>792</v>
      </c>
      <c r="AS421" s="264" t="s">
        <v>792</v>
      </c>
      <c r="AT421" s="264" t="s">
        <v>792</v>
      </c>
      <c r="AU421" s="264" t="s">
        <v>792</v>
      </c>
      <c r="AV421" s="264" t="s">
        <v>792</v>
      </c>
      <c r="AW421" s="264" t="s">
        <v>792</v>
      </c>
      <c r="AX421" s="264" t="s">
        <v>792</v>
      </c>
      <c r="AY421" s="264" t="s">
        <v>792</v>
      </c>
      <c r="AZ421" s="264" t="s">
        <v>792</v>
      </c>
      <c r="BA421" s="264" t="s">
        <v>792</v>
      </c>
      <c r="BB421" s="264" t="s">
        <v>792</v>
      </c>
      <c r="BC421" s="264" t="s">
        <v>792</v>
      </c>
      <c r="BD421" s="264" t="s">
        <v>792</v>
      </c>
      <c r="BE421" s="264" t="s">
        <v>792</v>
      </c>
      <c r="BF421" s="264" t="s">
        <v>792</v>
      </c>
    </row>
    <row r="422" spans="1:58" x14ac:dyDescent="0.3">
      <c r="A422" s="255" t="s">
        <v>1123</v>
      </c>
      <c r="B422" s="256" t="s">
        <v>792</v>
      </c>
      <c r="C422" s="256" t="s">
        <v>792</v>
      </c>
      <c r="D422" s="256" t="s">
        <v>792</v>
      </c>
      <c r="E422" s="256" t="s">
        <v>792</v>
      </c>
      <c r="F422" s="256" t="s">
        <v>792</v>
      </c>
      <c r="G422" s="256" t="s">
        <v>792</v>
      </c>
      <c r="H422" s="256" t="s">
        <v>792</v>
      </c>
      <c r="I422" s="256" t="s">
        <v>792</v>
      </c>
      <c r="J422" s="256" t="s">
        <v>792</v>
      </c>
      <c r="K422" s="256" t="s">
        <v>792</v>
      </c>
      <c r="L422" s="256" t="s">
        <v>792</v>
      </c>
      <c r="M422" s="256" t="s">
        <v>792</v>
      </c>
      <c r="N422" s="256" t="s">
        <v>792</v>
      </c>
      <c r="O422" s="256" t="s">
        <v>792</v>
      </c>
      <c r="P422" s="256" t="s">
        <v>792</v>
      </c>
      <c r="Q422" s="256" t="s">
        <v>792</v>
      </c>
      <c r="R422" s="256" t="s">
        <v>792</v>
      </c>
      <c r="S422" s="256" t="s">
        <v>792</v>
      </c>
      <c r="T422" s="256" t="s">
        <v>792</v>
      </c>
      <c r="U422" s="256" t="s">
        <v>792</v>
      </c>
      <c r="V422" s="256" t="s">
        <v>792</v>
      </c>
      <c r="W422" s="256" t="s">
        <v>792</v>
      </c>
      <c r="X422" s="256" t="s">
        <v>792</v>
      </c>
      <c r="Y422" s="256" t="s">
        <v>792</v>
      </c>
      <c r="Z422" s="256" t="s">
        <v>792</v>
      </c>
      <c r="AA422" s="256" t="s">
        <v>792</v>
      </c>
      <c r="AB422" s="256" t="s">
        <v>792</v>
      </c>
      <c r="AC422" s="256" t="s">
        <v>792</v>
      </c>
      <c r="AD422" s="256" t="s">
        <v>792</v>
      </c>
      <c r="AE422" s="256" t="s">
        <v>792</v>
      </c>
      <c r="AF422" s="256" t="s">
        <v>792</v>
      </c>
      <c r="AG422" s="256" t="s">
        <v>792</v>
      </c>
      <c r="AH422" s="256" t="s">
        <v>792</v>
      </c>
      <c r="AI422" s="256" t="s">
        <v>792</v>
      </c>
      <c r="AJ422" s="256" t="s">
        <v>792</v>
      </c>
      <c r="AK422" s="256" t="s">
        <v>792</v>
      </c>
      <c r="AL422" s="256" t="s">
        <v>792</v>
      </c>
      <c r="AM422" s="256" t="s">
        <v>792</v>
      </c>
      <c r="AN422" s="256" t="s">
        <v>792</v>
      </c>
      <c r="AO422" s="256" t="s">
        <v>792</v>
      </c>
      <c r="AP422" s="256" t="s">
        <v>792</v>
      </c>
      <c r="AQ422" s="256" t="s">
        <v>792</v>
      </c>
      <c r="AR422" s="256" t="s">
        <v>792</v>
      </c>
      <c r="AS422" s="256" t="s">
        <v>792</v>
      </c>
      <c r="AT422" s="256" t="s">
        <v>792</v>
      </c>
      <c r="AU422" s="256" t="s">
        <v>792</v>
      </c>
      <c r="AV422" s="256" t="s">
        <v>792</v>
      </c>
      <c r="AW422" s="256" t="s">
        <v>792</v>
      </c>
      <c r="AX422" s="256" t="s">
        <v>792</v>
      </c>
      <c r="AY422" s="256" t="s">
        <v>792</v>
      </c>
      <c r="AZ422" s="256" t="s">
        <v>792</v>
      </c>
      <c r="BA422" s="256" t="s">
        <v>792</v>
      </c>
      <c r="BB422" s="256" t="s">
        <v>792</v>
      </c>
      <c r="BC422" s="256" t="s">
        <v>792</v>
      </c>
      <c r="BD422" s="256" t="s">
        <v>792</v>
      </c>
      <c r="BE422" s="256" t="s">
        <v>792</v>
      </c>
      <c r="BF422" s="256" t="s">
        <v>792</v>
      </c>
    </row>
    <row r="423" spans="1:58" x14ac:dyDescent="0.3">
      <c r="A423" s="255"/>
      <c r="B423" s="256"/>
      <c r="C423" s="256"/>
      <c r="D423" s="256"/>
      <c r="E423" s="256"/>
      <c r="F423" s="256"/>
      <c r="G423" s="256"/>
      <c r="H423" s="256"/>
      <c r="I423" s="256"/>
      <c r="J423" s="256"/>
      <c r="K423" s="256"/>
      <c r="L423" s="256"/>
      <c r="M423" s="256"/>
      <c r="N423" s="256"/>
      <c r="O423" s="256"/>
      <c r="P423" s="256"/>
      <c r="Q423" s="256"/>
      <c r="R423" s="256"/>
      <c r="S423" s="256"/>
      <c r="T423" s="256"/>
      <c r="U423" s="256"/>
      <c r="V423" s="256"/>
      <c r="W423" s="256"/>
      <c r="X423" s="256"/>
      <c r="Y423" s="256"/>
      <c r="Z423" s="256"/>
      <c r="AA423" s="256"/>
      <c r="AB423" s="256"/>
      <c r="AC423" s="256"/>
      <c r="AD423" s="256"/>
      <c r="AE423" s="256"/>
      <c r="AF423" s="256"/>
      <c r="AG423" s="256"/>
      <c r="AH423" s="256"/>
      <c r="AI423" s="256"/>
      <c r="AJ423" s="256"/>
      <c r="AK423" s="256"/>
      <c r="AL423" s="256"/>
      <c r="AM423" s="256"/>
      <c r="AN423" s="256"/>
      <c r="AO423" s="256"/>
      <c r="AP423" s="256"/>
      <c r="AQ423" s="256"/>
      <c r="AR423" s="256"/>
      <c r="AS423" s="256"/>
      <c r="AT423" s="256"/>
      <c r="AU423" s="256"/>
      <c r="AV423" s="256"/>
      <c r="AW423" s="256"/>
      <c r="AX423" s="256"/>
      <c r="AY423" s="256"/>
      <c r="AZ423" s="256"/>
      <c r="BA423" s="256"/>
      <c r="BB423" s="256"/>
      <c r="BC423" s="256"/>
      <c r="BD423" s="256"/>
      <c r="BE423" s="256"/>
      <c r="BF423" s="256"/>
    </row>
    <row r="424" spans="1:58" x14ac:dyDescent="0.3">
      <c r="A424" s="255" t="s">
        <v>1124</v>
      </c>
      <c r="B424" s="256" t="s">
        <v>5</v>
      </c>
      <c r="C424" s="256" t="s">
        <v>5</v>
      </c>
      <c r="D424" s="256" t="s">
        <v>5</v>
      </c>
      <c r="E424" s="256" t="s">
        <v>5</v>
      </c>
      <c r="F424" s="256" t="s">
        <v>5</v>
      </c>
      <c r="G424" s="256" t="s">
        <v>5</v>
      </c>
      <c r="H424" s="256" t="s">
        <v>5</v>
      </c>
      <c r="I424" s="256" t="s">
        <v>5</v>
      </c>
      <c r="J424" s="256" t="s">
        <v>5</v>
      </c>
      <c r="K424" s="256" t="s">
        <v>5</v>
      </c>
      <c r="L424" s="256" t="s">
        <v>5</v>
      </c>
      <c r="M424" s="256" t="s">
        <v>5</v>
      </c>
      <c r="N424" s="256" t="s">
        <v>5</v>
      </c>
      <c r="O424" s="256" t="s">
        <v>5</v>
      </c>
      <c r="P424" s="256" t="s">
        <v>5</v>
      </c>
      <c r="Q424" s="256" t="s">
        <v>5</v>
      </c>
      <c r="R424" s="256" t="s">
        <v>5</v>
      </c>
      <c r="S424" s="256" t="s">
        <v>5</v>
      </c>
      <c r="T424" s="256" t="s">
        <v>5</v>
      </c>
      <c r="U424" s="256" t="s">
        <v>5</v>
      </c>
      <c r="V424" s="256" t="s">
        <v>5</v>
      </c>
      <c r="W424" s="256" t="s">
        <v>5</v>
      </c>
      <c r="X424" s="256" t="s">
        <v>5</v>
      </c>
      <c r="Y424" s="256" t="s">
        <v>5</v>
      </c>
      <c r="Z424" s="256" t="s">
        <v>5</v>
      </c>
      <c r="AA424" s="256" t="s">
        <v>5</v>
      </c>
      <c r="AB424" s="256" t="s">
        <v>5</v>
      </c>
      <c r="AC424" s="256" t="s">
        <v>5</v>
      </c>
      <c r="AD424" s="256" t="s">
        <v>5</v>
      </c>
      <c r="AE424" s="256" t="s">
        <v>5</v>
      </c>
      <c r="AF424" s="256" t="s">
        <v>5</v>
      </c>
      <c r="AG424" s="256" t="s">
        <v>5</v>
      </c>
      <c r="AH424" s="256" t="s">
        <v>5</v>
      </c>
      <c r="AI424" s="256" t="s">
        <v>5</v>
      </c>
      <c r="AJ424" s="256" t="s">
        <v>5</v>
      </c>
      <c r="AK424" s="256" t="s">
        <v>5</v>
      </c>
      <c r="AL424" s="256" t="s">
        <v>5</v>
      </c>
      <c r="AM424" s="256" t="s">
        <v>5</v>
      </c>
      <c r="AN424" s="256" t="s">
        <v>5</v>
      </c>
      <c r="AO424" s="256" t="s">
        <v>5</v>
      </c>
      <c r="AP424" s="256" t="s">
        <v>5</v>
      </c>
      <c r="AQ424" s="256" t="s">
        <v>5</v>
      </c>
      <c r="AR424" s="256" t="s">
        <v>5</v>
      </c>
      <c r="AS424" s="256" t="s">
        <v>5</v>
      </c>
      <c r="AT424" s="256" t="s">
        <v>5</v>
      </c>
      <c r="AU424" s="256" t="s">
        <v>5</v>
      </c>
      <c r="AV424" s="256" t="s">
        <v>5</v>
      </c>
      <c r="AW424" s="256" t="s">
        <v>5</v>
      </c>
      <c r="AX424" s="256" t="s">
        <v>5</v>
      </c>
      <c r="AY424" s="256" t="s">
        <v>5</v>
      </c>
      <c r="AZ424" s="256" t="s">
        <v>5</v>
      </c>
      <c r="BA424" s="256" t="s">
        <v>5</v>
      </c>
      <c r="BB424" s="256" t="s">
        <v>5</v>
      </c>
      <c r="BC424" s="256" t="s">
        <v>5</v>
      </c>
      <c r="BD424" s="256" t="s">
        <v>5</v>
      </c>
      <c r="BE424" s="256" t="s">
        <v>5</v>
      </c>
      <c r="BF424" s="256" t="s">
        <v>5</v>
      </c>
    </row>
    <row r="425" spans="1:58" x14ac:dyDescent="0.3">
      <c r="A425" s="255" t="s">
        <v>1125</v>
      </c>
      <c r="B425" s="257">
        <v>241.18199999999999</v>
      </c>
      <c r="C425" s="257">
        <v>245.43</v>
      </c>
      <c r="D425" s="257">
        <v>254.976</v>
      </c>
      <c r="E425" s="257">
        <v>255.70599999999999</v>
      </c>
      <c r="F425" s="257">
        <v>4619.3490000000002</v>
      </c>
      <c r="G425" s="257">
        <v>4684.7579999999998</v>
      </c>
      <c r="H425" s="257">
        <v>5547.77</v>
      </c>
      <c r="I425" s="257">
        <v>5751.3720000000003</v>
      </c>
      <c r="J425" s="257">
        <v>5856.2470000000003</v>
      </c>
      <c r="K425" s="257">
        <v>5882.4089999999997</v>
      </c>
      <c r="L425" s="257">
        <v>294308.45</v>
      </c>
      <c r="M425" s="257">
        <v>294711.25</v>
      </c>
      <c r="N425" s="257">
        <v>295412.65000000002</v>
      </c>
      <c r="O425" s="257">
        <v>296185.96299999999</v>
      </c>
      <c r="P425" s="257">
        <v>297462.57900000003</v>
      </c>
      <c r="Q425" s="257">
        <v>297466.74599999998</v>
      </c>
      <c r="R425" s="257">
        <v>297466.74599999998</v>
      </c>
      <c r="S425" s="257">
        <v>297466.74599999998</v>
      </c>
      <c r="T425" s="257">
        <v>297466.74599999998</v>
      </c>
      <c r="U425" s="257">
        <v>29748.449000000001</v>
      </c>
      <c r="V425" s="257">
        <v>29748.449000000001</v>
      </c>
      <c r="W425" s="257">
        <v>29748.449000000001</v>
      </c>
      <c r="X425" s="257">
        <v>29748.449000000001</v>
      </c>
      <c r="Y425" s="257">
        <v>29748.449000000001</v>
      </c>
      <c r="Z425" s="257">
        <v>65940.277000000002</v>
      </c>
      <c r="AA425" s="257">
        <v>65945.675000000003</v>
      </c>
      <c r="AB425" s="257">
        <v>13190.746999999999</v>
      </c>
      <c r="AC425" s="257">
        <v>13190.746999999999</v>
      </c>
      <c r="AD425" s="257">
        <v>13147.748</v>
      </c>
      <c r="AE425" s="257">
        <v>12940.944</v>
      </c>
      <c r="AF425" s="257">
        <v>12929.906999999999</v>
      </c>
      <c r="AG425" s="257">
        <v>12635.522999999999</v>
      </c>
      <c r="AH425" s="257">
        <v>12519.085999999999</v>
      </c>
      <c r="AI425" s="257">
        <v>12570.192999999999</v>
      </c>
      <c r="AJ425" s="257">
        <v>12157.771000000001</v>
      </c>
      <c r="AK425" s="257">
        <v>12152.571</v>
      </c>
      <c r="AL425" s="257">
        <v>12159.762000000001</v>
      </c>
      <c r="AM425" s="257">
        <v>126581.393</v>
      </c>
      <c r="AN425" s="257">
        <v>131458.72899999999</v>
      </c>
      <c r="AO425" s="257">
        <v>131458.72899999999</v>
      </c>
      <c r="AP425" s="257">
        <v>133679.94</v>
      </c>
      <c r="AQ425" s="257">
        <v>135160.9</v>
      </c>
      <c r="AR425" s="257">
        <v>135160.9</v>
      </c>
      <c r="AS425" s="257">
        <v>135160.9</v>
      </c>
      <c r="AT425" s="257">
        <v>136870.147</v>
      </c>
      <c r="AU425" s="257">
        <v>167850.65599999999</v>
      </c>
      <c r="AV425" s="257">
        <v>839253.28</v>
      </c>
      <c r="AW425" s="257">
        <v>839253.28</v>
      </c>
      <c r="AX425" s="257">
        <v>839253.28</v>
      </c>
      <c r="AY425" s="257">
        <v>882646.38500000001</v>
      </c>
      <c r="AZ425" s="257">
        <v>843994.02</v>
      </c>
      <c r="BA425" s="257">
        <v>843994.02</v>
      </c>
      <c r="BB425" s="257">
        <v>843494.02</v>
      </c>
      <c r="BC425" s="257">
        <v>847012.70900000003</v>
      </c>
      <c r="BD425" s="257">
        <v>836333.58200000005</v>
      </c>
      <c r="BE425" s="257">
        <v>836333.58200000005</v>
      </c>
      <c r="BF425" s="257">
        <v>834531.18200000003</v>
      </c>
    </row>
    <row r="426" spans="1:58" x14ac:dyDescent="0.3">
      <c r="A426" s="255"/>
      <c r="B426" s="256"/>
      <c r="C426" s="256"/>
      <c r="D426" s="256"/>
      <c r="E426" s="256"/>
      <c r="F426" s="256"/>
      <c r="G426" s="256"/>
      <c r="H426" s="256"/>
      <c r="I426" s="256"/>
      <c r="J426" s="256"/>
      <c r="K426" s="256"/>
      <c r="L426" s="256"/>
      <c r="M426" s="256"/>
      <c r="N426" s="256"/>
      <c r="O426" s="256"/>
      <c r="P426" s="256"/>
      <c r="Q426" s="256"/>
      <c r="R426" s="256"/>
      <c r="S426" s="256"/>
      <c r="T426" s="256"/>
      <c r="U426" s="256"/>
      <c r="V426" s="256"/>
      <c r="W426" s="256"/>
      <c r="X426" s="256"/>
      <c r="Y426" s="256"/>
      <c r="Z426" s="256"/>
      <c r="AA426" s="256"/>
      <c r="AB426" s="256"/>
      <c r="AC426" s="256"/>
      <c r="AD426" s="256"/>
      <c r="AE426" s="256"/>
      <c r="AF426" s="256"/>
      <c r="AG426" s="256"/>
      <c r="AH426" s="256"/>
      <c r="AI426" s="256"/>
      <c r="AJ426" s="256"/>
      <c r="AK426" s="256"/>
      <c r="AL426" s="256"/>
      <c r="AM426" s="256"/>
      <c r="AN426" s="256"/>
      <c r="AO426" s="256"/>
      <c r="AP426" s="256"/>
      <c r="AQ426" s="256"/>
      <c r="AR426" s="256"/>
      <c r="AS426" s="256"/>
      <c r="AT426" s="256"/>
      <c r="AU426" s="256"/>
      <c r="AV426" s="256"/>
      <c r="AW426" s="256"/>
      <c r="AX426" s="256"/>
      <c r="AY426" s="256"/>
      <c r="AZ426" s="256"/>
      <c r="BA426" s="256"/>
      <c r="BB426" s="256"/>
      <c r="BC426" s="256"/>
      <c r="BD426" s="256"/>
      <c r="BE426" s="256"/>
      <c r="BF426" s="256"/>
    </row>
    <row r="427" spans="1:58" x14ac:dyDescent="0.3">
      <c r="A427" s="255" t="s">
        <v>782</v>
      </c>
      <c r="B427" s="256" t="s">
        <v>5</v>
      </c>
      <c r="C427" s="256" t="s">
        <v>5</v>
      </c>
      <c r="D427" s="256" t="s">
        <v>5</v>
      </c>
      <c r="E427" s="256" t="s">
        <v>5</v>
      </c>
      <c r="F427" s="256" t="s">
        <v>5</v>
      </c>
      <c r="G427" s="256" t="s">
        <v>5</v>
      </c>
      <c r="H427" s="256" t="s">
        <v>5</v>
      </c>
      <c r="I427" s="256" t="s">
        <v>5</v>
      </c>
      <c r="J427" s="256" t="s">
        <v>5</v>
      </c>
      <c r="K427" s="256" t="s">
        <v>5</v>
      </c>
      <c r="L427" s="256" t="s">
        <v>5</v>
      </c>
      <c r="M427" s="256" t="s">
        <v>5</v>
      </c>
      <c r="N427" s="256" t="s">
        <v>5</v>
      </c>
      <c r="O427" s="256" t="s">
        <v>5</v>
      </c>
      <c r="P427" s="256" t="s">
        <v>5</v>
      </c>
      <c r="Q427" s="256" t="s">
        <v>5</v>
      </c>
      <c r="R427" s="256" t="s">
        <v>5</v>
      </c>
      <c r="S427" s="256" t="s">
        <v>5</v>
      </c>
      <c r="T427" s="256" t="s">
        <v>5</v>
      </c>
      <c r="U427" s="256" t="s">
        <v>5</v>
      </c>
      <c r="V427" s="256" t="s">
        <v>5</v>
      </c>
      <c r="W427" s="256" t="s">
        <v>5</v>
      </c>
      <c r="X427" s="256" t="s">
        <v>5</v>
      </c>
      <c r="Y427" s="256" t="s">
        <v>5</v>
      </c>
      <c r="Z427" s="256" t="s">
        <v>5</v>
      </c>
      <c r="AA427" s="256" t="s">
        <v>5</v>
      </c>
      <c r="AB427" s="256" t="s">
        <v>5</v>
      </c>
      <c r="AC427" s="256" t="s">
        <v>5</v>
      </c>
      <c r="AD427" s="256" t="s">
        <v>5</v>
      </c>
      <c r="AE427" s="256" t="s">
        <v>5</v>
      </c>
      <c r="AF427" s="256" t="s">
        <v>5</v>
      </c>
      <c r="AG427" s="256" t="s">
        <v>5</v>
      </c>
      <c r="AH427" s="256" t="s">
        <v>5</v>
      </c>
      <c r="AI427" s="256" t="s">
        <v>5</v>
      </c>
      <c r="AJ427" s="256" t="s">
        <v>5</v>
      </c>
      <c r="AK427" s="256" t="s">
        <v>5</v>
      </c>
      <c r="AL427" s="256" t="s">
        <v>5</v>
      </c>
      <c r="AM427" s="256" t="s">
        <v>5</v>
      </c>
      <c r="AN427" s="256" t="s">
        <v>5</v>
      </c>
      <c r="AO427" s="256" t="s">
        <v>5</v>
      </c>
      <c r="AP427" s="256" t="s">
        <v>5</v>
      </c>
      <c r="AQ427" s="256" t="s">
        <v>5</v>
      </c>
      <c r="AR427" s="256" t="s">
        <v>5</v>
      </c>
      <c r="AS427" s="256" t="s">
        <v>5</v>
      </c>
      <c r="AT427" s="256" t="s">
        <v>5</v>
      </c>
      <c r="AU427" s="256" t="s">
        <v>5</v>
      </c>
      <c r="AV427" s="256" t="s">
        <v>5</v>
      </c>
      <c r="AW427" s="256" t="s">
        <v>5</v>
      </c>
      <c r="AX427" s="256" t="s">
        <v>5</v>
      </c>
      <c r="AY427" s="256" t="s">
        <v>5</v>
      </c>
      <c r="AZ427" s="256" t="s">
        <v>5</v>
      </c>
      <c r="BA427" s="256" t="s">
        <v>5</v>
      </c>
      <c r="BB427" s="256" t="s">
        <v>5</v>
      </c>
      <c r="BC427" s="256" t="s">
        <v>5</v>
      </c>
      <c r="BD427" s="256" t="s">
        <v>5</v>
      </c>
      <c r="BE427" s="256" t="s">
        <v>5</v>
      </c>
      <c r="BF427" s="256" t="s">
        <v>5</v>
      </c>
    </row>
    <row r="428" spans="1:58" x14ac:dyDescent="0.3">
      <c r="A428" s="255" t="s">
        <v>1126</v>
      </c>
      <c r="B428" s="267">
        <v>40178</v>
      </c>
      <c r="C428" s="267">
        <v>40268</v>
      </c>
      <c r="D428" s="267">
        <v>40359</v>
      </c>
      <c r="E428" s="267">
        <v>40451</v>
      </c>
      <c r="F428" s="267">
        <v>40543</v>
      </c>
      <c r="G428" s="267">
        <v>40633</v>
      </c>
      <c r="H428" s="267">
        <v>40724</v>
      </c>
      <c r="I428" s="267">
        <v>40816</v>
      </c>
      <c r="J428" s="267">
        <v>40908</v>
      </c>
      <c r="K428" s="267">
        <v>40999</v>
      </c>
      <c r="L428" s="267">
        <v>41090</v>
      </c>
      <c r="M428" s="267">
        <v>41182</v>
      </c>
      <c r="N428" s="267">
        <v>41274</v>
      </c>
      <c r="O428" s="267">
        <v>41364</v>
      </c>
      <c r="P428" s="267">
        <v>41455</v>
      </c>
      <c r="Q428" s="267">
        <v>41547</v>
      </c>
      <c r="R428" s="267">
        <v>41639</v>
      </c>
      <c r="S428" s="267">
        <v>41729</v>
      </c>
      <c r="T428" s="267">
        <v>41820</v>
      </c>
      <c r="U428" s="267">
        <v>41912</v>
      </c>
      <c r="V428" s="267">
        <v>42004</v>
      </c>
      <c r="W428" s="267">
        <v>42094</v>
      </c>
      <c r="X428" s="267">
        <v>42185</v>
      </c>
      <c r="Y428" s="267">
        <v>42277</v>
      </c>
      <c r="Z428" s="267">
        <v>42369</v>
      </c>
      <c r="AA428" s="267">
        <v>42460</v>
      </c>
      <c r="AB428" s="267">
        <v>42551</v>
      </c>
      <c r="AC428" s="267">
        <v>42643</v>
      </c>
      <c r="AD428" s="267">
        <v>42735</v>
      </c>
      <c r="AE428" s="267">
        <v>42825</v>
      </c>
      <c r="AF428" s="267">
        <v>42916</v>
      </c>
      <c r="AG428" s="267">
        <v>43008</v>
      </c>
      <c r="AH428" s="267">
        <v>43100</v>
      </c>
      <c r="AI428" s="267">
        <v>43190</v>
      </c>
      <c r="AJ428" s="267">
        <v>43281</v>
      </c>
      <c r="AK428" s="267">
        <v>43373</v>
      </c>
      <c r="AL428" s="267">
        <v>43465</v>
      </c>
      <c r="AM428" s="267">
        <v>43555</v>
      </c>
      <c r="AN428" s="267">
        <v>43646</v>
      </c>
      <c r="AO428" s="267">
        <v>43738</v>
      </c>
      <c r="AP428" s="267">
        <v>43830</v>
      </c>
      <c r="AQ428" s="267">
        <v>43921</v>
      </c>
      <c r="AR428" s="267">
        <v>44012</v>
      </c>
      <c r="AS428" s="267">
        <v>44104</v>
      </c>
      <c r="AT428" s="267">
        <v>44196</v>
      </c>
      <c r="AU428" s="267">
        <v>44286</v>
      </c>
      <c r="AV428" s="267">
        <v>44377</v>
      </c>
      <c r="AW428" s="267">
        <v>44469</v>
      </c>
      <c r="AX428" s="267">
        <v>44561</v>
      </c>
      <c r="AY428" s="267">
        <v>44651</v>
      </c>
      <c r="AZ428" s="267">
        <v>44742</v>
      </c>
      <c r="BA428" s="267">
        <v>44834</v>
      </c>
      <c r="BB428" s="267">
        <v>44926</v>
      </c>
      <c r="BC428" s="267">
        <v>45016</v>
      </c>
      <c r="BD428" s="267">
        <v>45107</v>
      </c>
      <c r="BE428" s="267">
        <v>45199</v>
      </c>
      <c r="BF428" s="267">
        <v>45291</v>
      </c>
    </row>
    <row r="429" spans="1:58" x14ac:dyDescent="0.3">
      <c r="A429" s="255" t="s">
        <v>1127</v>
      </c>
      <c r="B429" s="267">
        <v>40178</v>
      </c>
      <c r="C429" s="267">
        <v>40268</v>
      </c>
      <c r="D429" s="267">
        <v>40359</v>
      </c>
      <c r="E429" s="267">
        <v>40451</v>
      </c>
      <c r="F429" s="267">
        <v>40543</v>
      </c>
      <c r="G429" s="267">
        <v>40633</v>
      </c>
      <c r="H429" s="267">
        <v>40724</v>
      </c>
      <c r="I429" s="267">
        <v>40816</v>
      </c>
      <c r="J429" s="267">
        <v>40908</v>
      </c>
      <c r="K429" s="267">
        <v>40999</v>
      </c>
      <c r="L429" s="267">
        <v>41090</v>
      </c>
      <c r="M429" s="267">
        <v>41182</v>
      </c>
      <c r="N429" s="267">
        <v>41274</v>
      </c>
      <c r="O429" s="267">
        <v>41364</v>
      </c>
      <c r="P429" s="267">
        <v>41455</v>
      </c>
      <c r="Q429" s="267">
        <v>41547</v>
      </c>
      <c r="R429" s="267">
        <v>41639</v>
      </c>
      <c r="S429" s="267">
        <v>41729</v>
      </c>
      <c r="T429" s="267">
        <v>41820</v>
      </c>
      <c r="U429" s="267">
        <v>41912</v>
      </c>
      <c r="V429" s="267">
        <v>42004</v>
      </c>
      <c r="W429" s="267">
        <v>42094</v>
      </c>
      <c r="X429" s="267">
        <v>42185</v>
      </c>
      <c r="Y429" s="267">
        <v>42277</v>
      </c>
      <c r="Z429" s="267">
        <v>42369</v>
      </c>
      <c r="AA429" s="267">
        <v>42460</v>
      </c>
      <c r="AB429" s="267">
        <v>42551</v>
      </c>
      <c r="AC429" s="267">
        <v>42643</v>
      </c>
      <c r="AD429" s="267">
        <v>42735</v>
      </c>
      <c r="AE429" s="267">
        <v>42825</v>
      </c>
      <c r="AF429" s="267">
        <v>42916</v>
      </c>
      <c r="AG429" s="267">
        <v>43008</v>
      </c>
      <c r="AH429" s="267">
        <v>43100</v>
      </c>
      <c r="AI429" s="267">
        <v>43190</v>
      </c>
      <c r="AJ429" s="267">
        <v>43281</v>
      </c>
      <c r="AK429" s="267">
        <v>43373</v>
      </c>
      <c r="AL429" s="267">
        <v>43465</v>
      </c>
      <c r="AM429" s="267">
        <v>43555</v>
      </c>
      <c r="AN429" s="267">
        <v>43646</v>
      </c>
      <c r="AO429" s="267">
        <v>43738</v>
      </c>
      <c r="AP429" s="267">
        <v>43830</v>
      </c>
      <c r="AQ429" s="267">
        <v>43921</v>
      </c>
      <c r="AR429" s="267">
        <v>44012</v>
      </c>
      <c r="AS429" s="267">
        <v>44104</v>
      </c>
      <c r="AT429" s="267">
        <v>44196</v>
      </c>
      <c r="AU429" s="267">
        <v>44286</v>
      </c>
      <c r="AV429" s="267">
        <v>44377</v>
      </c>
      <c r="AW429" s="267">
        <v>44469</v>
      </c>
      <c r="AX429" s="267">
        <v>44561</v>
      </c>
      <c r="AY429" s="267">
        <v>44651</v>
      </c>
      <c r="AZ429" s="267">
        <v>44742</v>
      </c>
      <c r="BA429" s="267">
        <v>44834</v>
      </c>
      <c r="BB429" s="267">
        <v>44926</v>
      </c>
      <c r="BC429" s="267">
        <v>45016</v>
      </c>
      <c r="BD429" s="267">
        <v>45107</v>
      </c>
      <c r="BE429" s="267">
        <v>45199</v>
      </c>
      <c r="BF429" s="267">
        <v>45291</v>
      </c>
    </row>
    <row r="430" spans="1:58" x14ac:dyDescent="0.3">
      <c r="A430" s="255" t="s">
        <v>1128</v>
      </c>
      <c r="B430" s="267">
        <v>7306</v>
      </c>
      <c r="C430" s="267">
        <v>7306</v>
      </c>
      <c r="D430" s="267">
        <v>7306</v>
      </c>
      <c r="E430" s="267">
        <v>7306</v>
      </c>
      <c r="F430" s="267">
        <v>7306</v>
      </c>
      <c r="G430" s="267">
        <v>40677</v>
      </c>
      <c r="H430" s="267">
        <v>40766</v>
      </c>
      <c r="I430" s="267">
        <v>40857</v>
      </c>
      <c r="J430" s="267">
        <v>40980</v>
      </c>
      <c r="K430" s="267">
        <v>41039</v>
      </c>
      <c r="L430" s="267">
        <v>41130</v>
      </c>
      <c r="M430" s="267">
        <v>41225</v>
      </c>
      <c r="N430" s="267">
        <v>41337</v>
      </c>
      <c r="O430" s="267">
        <v>41409</v>
      </c>
      <c r="P430" s="267">
        <v>41500</v>
      </c>
      <c r="Q430" s="267">
        <v>41591</v>
      </c>
      <c r="R430" s="267">
        <v>41729</v>
      </c>
      <c r="S430" s="267">
        <v>41773</v>
      </c>
      <c r="T430" s="267">
        <v>41865</v>
      </c>
      <c r="U430" s="267">
        <v>41956</v>
      </c>
      <c r="V430" s="267">
        <v>42093</v>
      </c>
      <c r="W430" s="267">
        <v>42138</v>
      </c>
      <c r="X430" s="267">
        <v>42236</v>
      </c>
      <c r="Y430" s="267">
        <v>42320</v>
      </c>
      <c r="Z430" s="267">
        <v>42452</v>
      </c>
      <c r="AA430" s="267">
        <v>42502</v>
      </c>
      <c r="AB430" s="267">
        <v>42593</v>
      </c>
      <c r="AC430" s="267">
        <v>42688</v>
      </c>
      <c r="AD430" s="267">
        <v>42822</v>
      </c>
      <c r="AE430" s="267">
        <v>42867</v>
      </c>
      <c r="AF430" s="267">
        <v>42956</v>
      </c>
      <c r="AG430" s="267">
        <v>43048</v>
      </c>
      <c r="AH430" s="267">
        <v>44138</v>
      </c>
      <c r="AI430" s="267">
        <v>43230</v>
      </c>
      <c r="AJ430" s="267">
        <v>43321</v>
      </c>
      <c r="AK430" s="267">
        <v>43403</v>
      </c>
      <c r="AL430" s="267">
        <v>43535</v>
      </c>
      <c r="AM430" s="267">
        <v>43600</v>
      </c>
      <c r="AN430" s="267">
        <v>44071</v>
      </c>
      <c r="AO430" s="267">
        <v>44139</v>
      </c>
      <c r="AP430" s="267">
        <v>44071</v>
      </c>
      <c r="AQ430" s="267">
        <v>44139</v>
      </c>
      <c r="AR430" s="267">
        <v>44071</v>
      </c>
      <c r="AS430" s="267">
        <v>44153</v>
      </c>
      <c r="AT430" s="267">
        <v>44257</v>
      </c>
      <c r="AU430" s="267">
        <v>44319</v>
      </c>
      <c r="AV430" s="267">
        <v>44410</v>
      </c>
      <c r="AW430" s="267">
        <v>44505</v>
      </c>
      <c r="AX430" s="267">
        <v>44607</v>
      </c>
      <c r="AY430" s="267">
        <v>44685</v>
      </c>
      <c r="AZ430" s="267">
        <v>44776</v>
      </c>
      <c r="BA430" s="267">
        <v>44865</v>
      </c>
      <c r="BB430" s="267">
        <v>44986</v>
      </c>
      <c r="BC430" s="267">
        <v>45049</v>
      </c>
      <c r="BD430" s="267">
        <v>45140</v>
      </c>
      <c r="BE430" s="267">
        <v>45230</v>
      </c>
      <c r="BF430" s="267">
        <v>45359</v>
      </c>
    </row>
    <row r="431" spans="1:58" x14ac:dyDescent="0.3">
      <c r="A431" s="255" t="s">
        <v>1129</v>
      </c>
      <c r="B431" s="267">
        <v>40675</v>
      </c>
      <c r="C431" s="267">
        <v>40728</v>
      </c>
      <c r="D431" s="267">
        <v>40728</v>
      </c>
      <c r="E431" s="267">
        <v>40728</v>
      </c>
      <c r="F431" s="267">
        <v>42774</v>
      </c>
      <c r="G431" s="267">
        <v>42774</v>
      </c>
      <c r="H431" s="267">
        <v>42774</v>
      </c>
      <c r="I431" s="267">
        <v>42774</v>
      </c>
      <c r="J431" s="267">
        <v>42774</v>
      </c>
      <c r="K431" s="267">
        <v>42774</v>
      </c>
      <c r="L431" s="267">
        <v>42774</v>
      </c>
      <c r="M431" s="267">
        <v>42774</v>
      </c>
      <c r="N431" s="267">
        <v>42774</v>
      </c>
      <c r="O431" s="267">
        <v>42774</v>
      </c>
      <c r="P431" s="267">
        <v>42774</v>
      </c>
      <c r="Q431" s="267">
        <v>42774</v>
      </c>
      <c r="R431" s="267">
        <v>42774</v>
      </c>
      <c r="S431" s="267">
        <v>42774</v>
      </c>
      <c r="T431" s="267">
        <v>42774</v>
      </c>
      <c r="U431" s="267">
        <v>42774</v>
      </c>
      <c r="V431" s="267">
        <v>42774</v>
      </c>
      <c r="W431" s="267">
        <v>42774</v>
      </c>
      <c r="X431" s="267">
        <v>42774</v>
      </c>
      <c r="Y431" s="267">
        <v>42774</v>
      </c>
      <c r="Z431" s="267">
        <v>42774</v>
      </c>
      <c r="AA431" s="267">
        <v>42774</v>
      </c>
      <c r="AB431" s="267">
        <v>42774</v>
      </c>
      <c r="AC431" s="267">
        <v>42774</v>
      </c>
      <c r="AD431" s="267">
        <v>42822</v>
      </c>
      <c r="AE431" s="267">
        <v>42870</v>
      </c>
      <c r="AF431" s="267">
        <v>42975</v>
      </c>
      <c r="AG431" s="267">
        <v>43049</v>
      </c>
      <c r="AH431" s="267">
        <v>44139</v>
      </c>
      <c r="AI431" s="267">
        <v>43231</v>
      </c>
      <c r="AJ431" s="267">
        <v>43321</v>
      </c>
      <c r="AK431" s="267">
        <v>43423</v>
      </c>
      <c r="AL431" s="267">
        <v>43536</v>
      </c>
      <c r="AM431" s="267">
        <v>43601</v>
      </c>
      <c r="AN431" s="267">
        <v>44071</v>
      </c>
      <c r="AO431" s="267">
        <v>44139</v>
      </c>
      <c r="AP431" s="267">
        <v>44071</v>
      </c>
      <c r="AQ431" s="267">
        <v>44140</v>
      </c>
      <c r="AR431" s="267">
        <v>44071</v>
      </c>
      <c r="AS431" s="267">
        <v>44153</v>
      </c>
      <c r="AT431" s="267">
        <v>44257</v>
      </c>
      <c r="AU431" s="267">
        <v>44320</v>
      </c>
      <c r="AV431" s="267">
        <v>44410</v>
      </c>
      <c r="AW431" s="267">
        <v>44505</v>
      </c>
      <c r="AX431" s="267">
        <v>44608</v>
      </c>
      <c r="AY431" s="267">
        <v>44686</v>
      </c>
      <c r="AZ431" s="267">
        <v>44777</v>
      </c>
      <c r="BA431" s="267">
        <v>44886</v>
      </c>
      <c r="BB431" s="267">
        <v>44987</v>
      </c>
      <c r="BC431" s="267">
        <v>45050</v>
      </c>
      <c r="BD431" s="267">
        <v>45141</v>
      </c>
      <c r="BE431" s="267">
        <v>45230</v>
      </c>
      <c r="BF431" s="267">
        <v>45362</v>
      </c>
    </row>
    <row r="432" spans="1:58" x14ac:dyDescent="0.3">
      <c r="A432" s="255" t="s">
        <v>1130</v>
      </c>
      <c r="B432" s="256" t="s">
        <v>1131</v>
      </c>
      <c r="C432" s="256" t="s">
        <v>1131</v>
      </c>
      <c r="D432" s="256" t="s">
        <v>1131</v>
      </c>
      <c r="E432" s="256" t="s">
        <v>1131</v>
      </c>
      <c r="F432" s="256" t="s">
        <v>1131</v>
      </c>
      <c r="G432" s="256" t="s">
        <v>1131</v>
      </c>
      <c r="H432" s="256" t="s">
        <v>1131</v>
      </c>
      <c r="I432" s="256" t="s">
        <v>1131</v>
      </c>
      <c r="J432" s="256" t="s">
        <v>1131</v>
      </c>
      <c r="K432" s="256" t="s">
        <v>1131</v>
      </c>
      <c r="L432" s="256" t="s">
        <v>1131</v>
      </c>
      <c r="M432" s="256" t="s">
        <v>1131</v>
      </c>
      <c r="N432" s="256" t="s">
        <v>1131</v>
      </c>
      <c r="O432" s="256" t="s">
        <v>1131</v>
      </c>
      <c r="P432" s="256" t="s">
        <v>1131</v>
      </c>
      <c r="Q432" s="256" t="s">
        <v>1131</v>
      </c>
      <c r="R432" s="256" t="s">
        <v>1131</v>
      </c>
      <c r="S432" s="256" t="s">
        <v>1131</v>
      </c>
      <c r="T432" s="256" t="s">
        <v>1131</v>
      </c>
      <c r="U432" s="256" t="s">
        <v>1131</v>
      </c>
      <c r="V432" s="256" t="s">
        <v>1131</v>
      </c>
      <c r="W432" s="256" t="s">
        <v>1131</v>
      </c>
      <c r="X432" s="256" t="s">
        <v>1131</v>
      </c>
      <c r="Y432" s="256" t="s">
        <v>1131</v>
      </c>
      <c r="Z432" s="256" t="s">
        <v>1131</v>
      </c>
      <c r="AA432" s="256" t="s">
        <v>1131</v>
      </c>
      <c r="AB432" s="256" t="s">
        <v>1131</v>
      </c>
      <c r="AC432" s="256" t="s">
        <v>1131</v>
      </c>
      <c r="AD432" s="256" t="s">
        <v>1131</v>
      </c>
      <c r="AE432" s="256" t="s">
        <v>1131</v>
      </c>
      <c r="AF432" s="256" t="s">
        <v>1131</v>
      </c>
      <c r="AG432" s="256" t="s">
        <v>1131</v>
      </c>
      <c r="AH432" s="256" t="s">
        <v>1131</v>
      </c>
      <c r="AI432" s="256" t="s">
        <v>1131</v>
      </c>
      <c r="AJ432" s="256" t="s">
        <v>1131</v>
      </c>
      <c r="AK432" s="256" t="s">
        <v>1131</v>
      </c>
      <c r="AL432" s="256" t="s">
        <v>1131</v>
      </c>
      <c r="AM432" s="256" t="s">
        <v>1131</v>
      </c>
      <c r="AN432" s="256" t="s">
        <v>1131</v>
      </c>
      <c r="AO432" s="256" t="s">
        <v>1131</v>
      </c>
      <c r="AP432" s="256" t="s">
        <v>1131</v>
      </c>
      <c r="AQ432" s="256" t="s">
        <v>1131</v>
      </c>
      <c r="AR432" s="256" t="s">
        <v>1131</v>
      </c>
      <c r="AS432" s="256" t="s">
        <v>1131</v>
      </c>
      <c r="AT432" s="256" t="s">
        <v>1131</v>
      </c>
      <c r="AU432" s="256" t="s">
        <v>1131</v>
      </c>
      <c r="AV432" s="256" t="s">
        <v>1131</v>
      </c>
      <c r="AW432" s="256" t="s">
        <v>1131</v>
      </c>
      <c r="AX432" s="256" t="s">
        <v>1131</v>
      </c>
      <c r="AY432" s="256" t="s">
        <v>1131</v>
      </c>
      <c r="AZ432" s="256" t="s">
        <v>1131</v>
      </c>
      <c r="BA432" s="256" t="s">
        <v>1131</v>
      </c>
      <c r="BB432" s="256" t="s">
        <v>1131</v>
      </c>
      <c r="BC432" s="256" t="s">
        <v>1131</v>
      </c>
      <c r="BD432" s="256" t="s">
        <v>1131</v>
      </c>
      <c r="BE432" s="256" t="s">
        <v>1131</v>
      </c>
      <c r="BF432" s="256" t="s">
        <v>1131</v>
      </c>
    </row>
    <row r="433" spans="1:58" x14ac:dyDescent="0.3">
      <c r="A433" s="255" t="s">
        <v>1132</v>
      </c>
      <c r="B433" s="256" t="s">
        <v>1133</v>
      </c>
      <c r="C433" s="256" t="s">
        <v>1133</v>
      </c>
      <c r="D433" s="256" t="s">
        <v>1133</v>
      </c>
      <c r="E433" s="256" t="s">
        <v>1133</v>
      </c>
      <c r="F433" s="256" t="s">
        <v>1133</v>
      </c>
      <c r="G433" s="256" t="s">
        <v>1133</v>
      </c>
      <c r="H433" s="256" t="s">
        <v>1133</v>
      </c>
      <c r="I433" s="256" t="s">
        <v>1133</v>
      </c>
      <c r="J433" s="256" t="s">
        <v>1133</v>
      </c>
      <c r="K433" s="256" t="s">
        <v>1133</v>
      </c>
      <c r="L433" s="256" t="s">
        <v>1133</v>
      </c>
      <c r="M433" s="256" t="s">
        <v>1133</v>
      </c>
      <c r="N433" s="256" t="s">
        <v>1133</v>
      </c>
      <c r="O433" s="256" t="s">
        <v>1133</v>
      </c>
      <c r="P433" s="256" t="s">
        <v>1133</v>
      </c>
      <c r="Q433" s="256" t="s">
        <v>1133</v>
      </c>
      <c r="R433" s="256" t="s">
        <v>1133</v>
      </c>
      <c r="S433" s="256" t="s">
        <v>1133</v>
      </c>
      <c r="T433" s="256" t="s">
        <v>1133</v>
      </c>
      <c r="U433" s="256" t="s">
        <v>1133</v>
      </c>
      <c r="V433" s="256" t="s">
        <v>1133</v>
      </c>
      <c r="W433" s="256" t="s">
        <v>1133</v>
      </c>
      <c r="X433" s="256" t="s">
        <v>1133</v>
      </c>
      <c r="Y433" s="256" t="s">
        <v>1133</v>
      </c>
      <c r="Z433" s="256" t="s">
        <v>1133</v>
      </c>
      <c r="AA433" s="256" t="s">
        <v>1133</v>
      </c>
      <c r="AB433" s="256" t="s">
        <v>1133</v>
      </c>
      <c r="AC433" s="256" t="s">
        <v>1133</v>
      </c>
      <c r="AD433" s="256" t="s">
        <v>1133</v>
      </c>
      <c r="AE433" s="256" t="s">
        <v>1133</v>
      </c>
      <c r="AF433" s="256" t="s">
        <v>1133</v>
      </c>
      <c r="AG433" s="256" t="s">
        <v>1133</v>
      </c>
      <c r="AH433" s="256" t="s">
        <v>1133</v>
      </c>
      <c r="AI433" s="256" t="s">
        <v>1133</v>
      </c>
      <c r="AJ433" s="256" t="s">
        <v>1133</v>
      </c>
      <c r="AK433" s="256" t="s">
        <v>1133</v>
      </c>
      <c r="AL433" s="256" t="s">
        <v>1133</v>
      </c>
      <c r="AM433" s="256" t="s">
        <v>1133</v>
      </c>
      <c r="AN433" s="256" t="s">
        <v>1133</v>
      </c>
      <c r="AO433" s="256" t="s">
        <v>1133</v>
      </c>
      <c r="AP433" s="256" t="s">
        <v>1133</v>
      </c>
      <c r="AQ433" s="256" t="s">
        <v>1133</v>
      </c>
      <c r="AR433" s="256" t="s">
        <v>1133</v>
      </c>
      <c r="AS433" s="256" t="s">
        <v>1133</v>
      </c>
      <c r="AT433" s="256" t="s">
        <v>1133</v>
      </c>
      <c r="AU433" s="256" t="s">
        <v>1133</v>
      </c>
      <c r="AV433" s="256" t="s">
        <v>1133</v>
      </c>
      <c r="AW433" s="256" t="s">
        <v>1133</v>
      </c>
      <c r="AX433" s="256" t="s">
        <v>1133</v>
      </c>
      <c r="AY433" s="256" t="s">
        <v>1133</v>
      </c>
      <c r="AZ433" s="256" t="s">
        <v>1133</v>
      </c>
      <c r="BA433" s="256" t="s">
        <v>1133</v>
      </c>
      <c r="BB433" s="256" t="s">
        <v>1133</v>
      </c>
      <c r="BC433" s="256" t="s">
        <v>1133</v>
      </c>
      <c r="BD433" s="256" t="s">
        <v>1133</v>
      </c>
      <c r="BE433" s="256" t="s">
        <v>1133</v>
      </c>
      <c r="BF433" s="256" t="s">
        <v>1133</v>
      </c>
    </row>
    <row r="434" spans="1:58" x14ac:dyDescent="0.3">
      <c r="A434" s="255" t="s">
        <v>783</v>
      </c>
      <c r="B434" s="256" t="s">
        <v>784</v>
      </c>
      <c r="C434" s="256" t="s">
        <v>784</v>
      </c>
      <c r="D434" s="256" t="s">
        <v>784</v>
      </c>
      <c r="E434" s="256" t="s">
        <v>784</v>
      </c>
      <c r="F434" s="256" t="s">
        <v>785</v>
      </c>
      <c r="G434" s="256" t="s">
        <v>785</v>
      </c>
      <c r="H434" s="256" t="s">
        <v>785</v>
      </c>
      <c r="I434" s="256" t="s">
        <v>785</v>
      </c>
      <c r="J434" s="256" t="s">
        <v>785</v>
      </c>
      <c r="K434" s="256" t="s">
        <v>785</v>
      </c>
      <c r="L434" s="256" t="s">
        <v>785</v>
      </c>
      <c r="M434" s="256" t="s">
        <v>785</v>
      </c>
      <c r="N434" s="256" t="s">
        <v>785</v>
      </c>
      <c r="O434" s="256" t="s">
        <v>785</v>
      </c>
      <c r="P434" s="256" t="s">
        <v>785</v>
      </c>
      <c r="Q434" s="256" t="s">
        <v>785</v>
      </c>
      <c r="R434" s="256" t="s">
        <v>785</v>
      </c>
      <c r="S434" s="256" t="s">
        <v>785</v>
      </c>
      <c r="T434" s="256" t="s">
        <v>785</v>
      </c>
      <c r="U434" s="256" t="s">
        <v>785</v>
      </c>
      <c r="V434" s="256" t="s">
        <v>785</v>
      </c>
      <c r="W434" s="256" t="s">
        <v>785</v>
      </c>
      <c r="X434" s="256" t="s">
        <v>785</v>
      </c>
      <c r="Y434" s="256" t="s">
        <v>785</v>
      </c>
      <c r="Z434" s="256" t="s">
        <v>785</v>
      </c>
      <c r="AA434" s="256" t="s">
        <v>785</v>
      </c>
      <c r="AB434" s="256" t="s">
        <v>785</v>
      </c>
      <c r="AC434" s="256" t="s">
        <v>785</v>
      </c>
      <c r="AD434" s="256" t="s">
        <v>785</v>
      </c>
      <c r="AE434" s="256" t="s">
        <v>785</v>
      </c>
      <c r="AF434" s="256" t="s">
        <v>785</v>
      </c>
      <c r="AG434" s="256" t="s">
        <v>785</v>
      </c>
      <c r="AH434" s="256" t="s">
        <v>785</v>
      </c>
      <c r="AI434" s="256" t="s">
        <v>785</v>
      </c>
      <c r="AJ434" s="256" t="s">
        <v>785</v>
      </c>
      <c r="AK434" s="256" t="s">
        <v>785</v>
      </c>
      <c r="AL434" s="256" t="s">
        <v>785</v>
      </c>
      <c r="AM434" s="256" t="s">
        <v>785</v>
      </c>
      <c r="AN434" s="256" t="s">
        <v>785</v>
      </c>
      <c r="AO434" s="256" t="s">
        <v>785</v>
      </c>
      <c r="AP434" s="256" t="s">
        <v>785</v>
      </c>
      <c r="AQ434" s="256" t="s">
        <v>785</v>
      </c>
      <c r="AR434" s="256" t="s">
        <v>785</v>
      </c>
      <c r="AS434" s="256" t="s">
        <v>785</v>
      </c>
      <c r="AT434" s="256" t="s">
        <v>785</v>
      </c>
      <c r="AU434" s="256" t="s">
        <v>785</v>
      </c>
      <c r="AV434" s="256" t="s">
        <v>785</v>
      </c>
      <c r="AW434" s="256" t="s">
        <v>785</v>
      </c>
      <c r="AX434" s="256" t="s">
        <v>785</v>
      </c>
      <c r="AY434" s="256" t="s">
        <v>785</v>
      </c>
      <c r="AZ434" s="256" t="s">
        <v>785</v>
      </c>
      <c r="BA434" s="256" t="s">
        <v>785</v>
      </c>
      <c r="BB434" s="256" t="s">
        <v>785</v>
      </c>
      <c r="BC434" s="256" t="s">
        <v>785</v>
      </c>
      <c r="BD434" s="256" t="s">
        <v>785</v>
      </c>
      <c r="BE434" s="256" t="s">
        <v>785</v>
      </c>
      <c r="BF434" s="256" t="s">
        <v>785</v>
      </c>
    </row>
    <row r="435" spans="1:58" x14ac:dyDescent="0.3">
      <c r="A435" s="255" t="s">
        <v>1134</v>
      </c>
      <c r="B435" s="256" t="s">
        <v>1135</v>
      </c>
      <c r="C435" s="256" t="s">
        <v>1135</v>
      </c>
      <c r="D435" s="256" t="s">
        <v>1135</v>
      </c>
      <c r="E435" s="256" t="s">
        <v>1135</v>
      </c>
      <c r="F435" s="256" t="s">
        <v>1135</v>
      </c>
      <c r="G435" s="256" t="s">
        <v>1135</v>
      </c>
      <c r="H435" s="256" t="s">
        <v>1135</v>
      </c>
      <c r="I435" s="256" t="s">
        <v>1135</v>
      </c>
      <c r="J435" s="256" t="s">
        <v>1135</v>
      </c>
      <c r="K435" s="256" t="s">
        <v>1135</v>
      </c>
      <c r="L435" s="256" t="s">
        <v>1135</v>
      </c>
      <c r="M435" s="256" t="s">
        <v>1135</v>
      </c>
      <c r="N435" s="256" t="s">
        <v>1135</v>
      </c>
      <c r="O435" s="256" t="s">
        <v>1135</v>
      </c>
      <c r="P435" s="256" t="s">
        <v>1135</v>
      </c>
      <c r="Q435" s="256" t="s">
        <v>1135</v>
      </c>
      <c r="R435" s="256" t="s">
        <v>1135</v>
      </c>
      <c r="S435" s="256" t="s">
        <v>1135</v>
      </c>
      <c r="T435" s="256" t="s">
        <v>1135</v>
      </c>
      <c r="U435" s="256" t="s">
        <v>1135</v>
      </c>
      <c r="V435" s="256" t="s">
        <v>1135</v>
      </c>
      <c r="W435" s="256" t="s">
        <v>1135</v>
      </c>
      <c r="X435" s="256" t="s">
        <v>1135</v>
      </c>
      <c r="Y435" s="256" t="s">
        <v>1135</v>
      </c>
      <c r="Z435" s="256" t="s">
        <v>1135</v>
      </c>
      <c r="AA435" s="256" t="s">
        <v>1135</v>
      </c>
      <c r="AB435" s="256" t="s">
        <v>1135</v>
      </c>
      <c r="AC435" s="256" t="s">
        <v>1135</v>
      </c>
      <c r="AD435" s="256" t="s">
        <v>1135</v>
      </c>
      <c r="AE435" s="256" t="s">
        <v>1135</v>
      </c>
      <c r="AF435" s="256" t="s">
        <v>1135</v>
      </c>
      <c r="AG435" s="256" t="s">
        <v>1135</v>
      </c>
      <c r="AH435" s="256" t="s">
        <v>1135</v>
      </c>
      <c r="AI435" s="256" t="s">
        <v>1135</v>
      </c>
      <c r="AJ435" s="256" t="s">
        <v>1135</v>
      </c>
      <c r="AK435" s="256" t="s">
        <v>1135</v>
      </c>
      <c r="AL435" s="256" t="s">
        <v>1135</v>
      </c>
      <c r="AM435" s="256" t="s">
        <v>1135</v>
      </c>
      <c r="AN435" s="256" t="s">
        <v>1135</v>
      </c>
      <c r="AO435" s="256" t="s">
        <v>1135</v>
      </c>
      <c r="AP435" s="256" t="s">
        <v>1135</v>
      </c>
      <c r="AQ435" s="256" t="s">
        <v>1135</v>
      </c>
      <c r="AR435" s="256" t="s">
        <v>1135</v>
      </c>
      <c r="AS435" s="256" t="s">
        <v>1135</v>
      </c>
      <c r="AT435" s="256" t="s">
        <v>1135</v>
      </c>
      <c r="AU435" s="256" t="s">
        <v>1135</v>
      </c>
      <c r="AV435" s="256" t="s">
        <v>1135</v>
      </c>
      <c r="AW435" s="256" t="s">
        <v>1135</v>
      </c>
      <c r="AX435" s="256" t="s">
        <v>1135</v>
      </c>
      <c r="AY435" s="256" t="s">
        <v>1135</v>
      </c>
      <c r="AZ435" s="256" t="s">
        <v>1135</v>
      </c>
      <c r="BA435" s="256" t="s">
        <v>1135</v>
      </c>
      <c r="BB435" s="256" t="s">
        <v>1135</v>
      </c>
      <c r="BC435" s="256" t="s">
        <v>1135</v>
      </c>
      <c r="BD435" s="256" t="s">
        <v>1135</v>
      </c>
      <c r="BE435" s="256" t="s">
        <v>1135</v>
      </c>
      <c r="BF435" s="256" t="s">
        <v>1135</v>
      </c>
    </row>
    <row r="436" spans="1:58" x14ac:dyDescent="0.3">
      <c r="A436" s="255" t="s">
        <v>1136</v>
      </c>
      <c r="B436" s="256" t="s">
        <v>1137</v>
      </c>
      <c r="C436" s="256" t="s">
        <v>1137</v>
      </c>
      <c r="D436" s="256" t="s">
        <v>1137</v>
      </c>
      <c r="E436" s="256" t="s">
        <v>1137</v>
      </c>
      <c r="F436" s="256" t="s">
        <v>1137</v>
      </c>
      <c r="G436" s="256" t="s">
        <v>1137</v>
      </c>
      <c r="H436" s="256" t="s">
        <v>1137</v>
      </c>
      <c r="I436" s="256" t="s">
        <v>1137</v>
      </c>
      <c r="J436" s="256" t="s">
        <v>1137</v>
      </c>
      <c r="K436" s="256" t="s">
        <v>1137</v>
      </c>
      <c r="L436" s="256" t="s">
        <v>1137</v>
      </c>
      <c r="M436" s="256" t="s">
        <v>1137</v>
      </c>
      <c r="N436" s="256" t="s">
        <v>1137</v>
      </c>
      <c r="O436" s="256" t="s">
        <v>1137</v>
      </c>
      <c r="P436" s="256" t="s">
        <v>1137</v>
      </c>
      <c r="Q436" s="256" t="s">
        <v>1137</v>
      </c>
      <c r="R436" s="256" t="s">
        <v>1137</v>
      </c>
      <c r="S436" s="256" t="s">
        <v>1137</v>
      </c>
      <c r="T436" s="256" t="s">
        <v>1137</v>
      </c>
      <c r="U436" s="256" t="s">
        <v>1137</v>
      </c>
      <c r="V436" s="256" t="s">
        <v>1137</v>
      </c>
      <c r="W436" s="256" t="s">
        <v>1137</v>
      </c>
      <c r="X436" s="256" t="s">
        <v>1137</v>
      </c>
      <c r="Y436" s="256" t="s">
        <v>1137</v>
      </c>
      <c r="Z436" s="256" t="s">
        <v>1137</v>
      </c>
      <c r="AA436" s="256" t="s">
        <v>1137</v>
      </c>
      <c r="AB436" s="256" t="s">
        <v>1137</v>
      </c>
      <c r="AC436" s="256" t="s">
        <v>1137</v>
      </c>
      <c r="AD436" s="256" t="s">
        <v>1137</v>
      </c>
      <c r="AE436" s="256" t="s">
        <v>1137</v>
      </c>
      <c r="AF436" s="256" t="s">
        <v>1137</v>
      </c>
      <c r="AG436" s="256" t="s">
        <v>1137</v>
      </c>
      <c r="AH436" s="256" t="s">
        <v>1137</v>
      </c>
      <c r="AI436" s="256" t="s">
        <v>1137</v>
      </c>
      <c r="AJ436" s="256" t="s">
        <v>1137</v>
      </c>
      <c r="AK436" s="256" t="s">
        <v>1137</v>
      </c>
      <c r="AL436" s="256" t="s">
        <v>1137</v>
      </c>
      <c r="AM436" s="256" t="s">
        <v>1137</v>
      </c>
      <c r="AN436" s="256" t="s">
        <v>1137</v>
      </c>
      <c r="AO436" s="256" t="s">
        <v>1137</v>
      </c>
      <c r="AP436" s="256" t="s">
        <v>1137</v>
      </c>
      <c r="AQ436" s="256" t="s">
        <v>1137</v>
      </c>
      <c r="AR436" s="256" t="s">
        <v>1137</v>
      </c>
      <c r="AS436" s="256" t="s">
        <v>1137</v>
      </c>
      <c r="AT436" s="256" t="s">
        <v>1137</v>
      </c>
      <c r="AU436" s="256" t="s">
        <v>1137</v>
      </c>
      <c r="AV436" s="256" t="s">
        <v>1137</v>
      </c>
      <c r="AW436" s="256" t="s">
        <v>1137</v>
      </c>
      <c r="AX436" s="256" t="s">
        <v>1137</v>
      </c>
      <c r="AY436" s="256" t="s">
        <v>1137</v>
      </c>
      <c r="AZ436" s="256" t="s">
        <v>1137</v>
      </c>
      <c r="BA436" s="256" t="s">
        <v>1137</v>
      </c>
      <c r="BB436" s="256" t="s">
        <v>1137</v>
      </c>
      <c r="BC436" s="256" t="s">
        <v>1137</v>
      </c>
      <c r="BD436" s="256" t="s">
        <v>1137</v>
      </c>
      <c r="BE436" s="256" t="s">
        <v>1137</v>
      </c>
      <c r="BF436" s="256" t="s">
        <v>1137</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B1AFA-D163-49DA-B910-C6D1AD603360}">
  <sheetPr>
    <tabColor theme="9" tint="-0.499984740745262"/>
  </sheetPr>
  <dimension ref="A1:AV75"/>
  <sheetViews>
    <sheetView showGridLines="0" zoomScaleNormal="100" workbookViewId="0">
      <pane xSplit="2" ySplit="1" topLeftCell="U2" activePane="bottomRight" state="frozen"/>
      <selection pane="topRight" activeCell="C1" sqref="C1"/>
      <selection pane="bottomLeft" activeCell="A2" sqref="A2"/>
      <selection pane="bottomRight" activeCell="Y37" sqref="Y37"/>
    </sheetView>
  </sheetViews>
  <sheetFormatPr defaultRowHeight="14.4" x14ac:dyDescent="0.3"/>
  <cols>
    <col min="2" max="2" width="66" bestFit="1" customWidth="1"/>
    <col min="3" max="4" width="10.88671875" customWidth="1"/>
    <col min="5" max="8" width="11.21875" customWidth="1"/>
    <col min="9" max="24" width="11.33203125" customWidth="1"/>
    <col min="25" max="25" width="9.77734375" bestFit="1" customWidth="1"/>
    <col min="26" max="26" width="9.109375" bestFit="1" customWidth="1"/>
    <col min="27" max="27" width="9.109375" customWidth="1"/>
    <col min="28" max="28" width="11.88671875" customWidth="1"/>
    <col min="29" max="32" width="10.77734375" bestFit="1" customWidth="1"/>
    <col min="33" max="33" width="47.109375" customWidth="1"/>
    <col min="37" max="37" width="19.33203125" customWidth="1"/>
    <col min="38" max="38" width="66" bestFit="1" customWidth="1"/>
    <col min="40" max="40" width="15.88671875" customWidth="1"/>
    <col min="41" max="41" width="12.109375" bestFit="1" customWidth="1"/>
    <col min="44" max="44" width="12.109375" bestFit="1" customWidth="1"/>
    <col min="48" max="48" width="12.109375" bestFit="1" customWidth="1"/>
    <col min="50" max="50" width="12.109375" bestFit="1" customWidth="1"/>
  </cols>
  <sheetData>
    <row r="1" spans="1:48" x14ac:dyDescent="0.3">
      <c r="C1" s="45" t="s">
        <v>246</v>
      </c>
      <c r="D1" s="45" t="s">
        <v>245</v>
      </c>
      <c r="E1" s="45" t="s">
        <v>244</v>
      </c>
      <c r="F1" s="45" t="s">
        <v>238</v>
      </c>
      <c r="G1" s="45">
        <v>2018</v>
      </c>
      <c r="H1" s="45" t="s">
        <v>243</v>
      </c>
      <c r="I1" s="45" t="s">
        <v>242</v>
      </c>
      <c r="J1" s="45" t="s">
        <v>241</v>
      </c>
      <c r="K1" s="45" t="s">
        <v>239</v>
      </c>
      <c r="L1" s="45">
        <v>2019</v>
      </c>
      <c r="M1" s="45" t="s">
        <v>237</v>
      </c>
      <c r="N1" s="45" t="s">
        <v>236</v>
      </c>
      <c r="O1" s="45" t="s">
        <v>240</v>
      </c>
      <c r="P1" s="45" t="s">
        <v>228</v>
      </c>
      <c r="Q1" s="45">
        <v>2020</v>
      </c>
      <c r="R1" s="45" t="s">
        <v>234</v>
      </c>
      <c r="S1" s="45" t="s">
        <v>233</v>
      </c>
      <c r="T1" s="45" t="s">
        <v>231</v>
      </c>
      <c r="U1" s="45" t="s">
        <v>227</v>
      </c>
      <c r="V1" s="45">
        <v>2021</v>
      </c>
      <c r="W1" s="45" t="s">
        <v>232</v>
      </c>
      <c r="X1" s="45" t="s">
        <v>230</v>
      </c>
      <c r="Y1" s="45" t="s">
        <v>229</v>
      </c>
      <c r="Z1" s="45" t="s">
        <v>226</v>
      </c>
      <c r="AA1" s="45">
        <v>2022</v>
      </c>
      <c r="AB1" s="45" t="s">
        <v>138</v>
      </c>
      <c r="AC1" s="45" t="s">
        <v>139</v>
      </c>
      <c r="AD1" s="45" t="s">
        <v>270</v>
      </c>
      <c r="AE1" s="45" t="s">
        <v>271</v>
      </c>
      <c r="AF1" s="45">
        <v>2023</v>
      </c>
    </row>
    <row r="3" spans="1:48" s="215" customFormat="1" x14ac:dyDescent="0.3">
      <c r="A3" s="214" t="s">
        <v>248</v>
      </c>
    </row>
    <row r="4" spans="1:48" x14ac:dyDescent="0.3">
      <c r="M4" s="1"/>
      <c r="N4" s="1"/>
      <c r="O4" s="1"/>
      <c r="P4" s="1"/>
      <c r="R4" s="1"/>
      <c r="S4" s="1"/>
      <c r="T4" s="1"/>
      <c r="U4" s="1"/>
      <c r="W4" s="1"/>
      <c r="X4" s="1"/>
      <c r="Y4" s="1"/>
      <c r="Z4" s="1"/>
      <c r="AB4" s="1"/>
      <c r="AC4" s="1"/>
      <c r="AD4" s="1"/>
      <c r="AE4" s="1"/>
      <c r="AF4" s="1"/>
    </row>
    <row r="5" spans="1:48" x14ac:dyDescent="0.3">
      <c r="A5" t="s">
        <v>110</v>
      </c>
      <c r="B5" t="s">
        <v>111</v>
      </c>
      <c r="D5" s="1"/>
    </row>
    <row r="6" spans="1:48" x14ac:dyDescent="0.3">
      <c r="A6" t="s">
        <v>208</v>
      </c>
      <c r="B6" s="34" t="s">
        <v>209</v>
      </c>
      <c r="C6" s="66">
        <v>-17962</v>
      </c>
      <c r="D6" s="66">
        <v>77058</v>
      </c>
      <c r="E6" s="66">
        <v>167710</v>
      </c>
      <c r="F6" s="66">
        <v>246428</v>
      </c>
      <c r="G6" s="48">
        <f>F6</f>
        <v>246428</v>
      </c>
      <c r="H6" s="66">
        <v>68798</v>
      </c>
      <c r="I6" s="66">
        <v>374038</v>
      </c>
      <c r="J6" s="66">
        <v>521799</v>
      </c>
      <c r="K6" s="66">
        <v>444671</v>
      </c>
      <c r="L6" s="48">
        <f>K6</f>
        <v>444671</v>
      </c>
      <c r="M6" s="66">
        <v>236752</v>
      </c>
      <c r="N6" s="66">
        <v>791434</v>
      </c>
      <c r="O6" s="66">
        <v>1254191</v>
      </c>
      <c r="P6" s="66">
        <v>1617546</v>
      </c>
      <c r="Q6" s="48">
        <f>P6</f>
        <v>1617546</v>
      </c>
      <c r="R6" s="66">
        <v>723130</v>
      </c>
      <c r="S6" s="66">
        <v>804781</v>
      </c>
      <c r="T6" s="66">
        <v>1514308</v>
      </c>
      <c r="U6" s="66">
        <v>2183736</v>
      </c>
      <c r="V6" s="48">
        <f>U6</f>
        <v>2183736</v>
      </c>
      <c r="W6" s="66">
        <v>969766</v>
      </c>
      <c r="X6" s="66">
        <v>1671174</v>
      </c>
      <c r="Y6" s="66">
        <v>3517988</v>
      </c>
      <c r="Z6" s="66">
        <v>4927159</v>
      </c>
      <c r="AA6" s="48">
        <f>Z6</f>
        <v>4927159</v>
      </c>
      <c r="AB6" s="66">
        <v>-90108</v>
      </c>
      <c r="AC6" s="66">
        <v>2327947</v>
      </c>
      <c r="AD6" s="66">
        <v>4939467</v>
      </c>
      <c r="AE6" s="66">
        <v>7740287</v>
      </c>
      <c r="AF6" s="48">
        <f>AE6</f>
        <v>7740287</v>
      </c>
      <c r="AG6" s="35"/>
      <c r="AH6" s="35"/>
      <c r="AI6" s="35"/>
      <c r="AU6" s="35"/>
    </row>
    <row r="7" spans="1:48" x14ac:dyDescent="0.3">
      <c r="A7" t="s">
        <v>210</v>
      </c>
      <c r="B7" s="44" t="s">
        <v>211</v>
      </c>
      <c r="C7" s="49">
        <v>26164</v>
      </c>
      <c r="D7" s="49">
        <v>71763</v>
      </c>
      <c r="E7" s="49">
        <v>66457</v>
      </c>
      <c r="F7" s="49">
        <v>72462</v>
      </c>
      <c r="G7" s="48">
        <f t="shared" ref="G7:G15" si="0">F7</f>
        <v>72462</v>
      </c>
      <c r="H7" s="49">
        <v>31240</v>
      </c>
      <c r="I7" s="49">
        <v>121783</v>
      </c>
      <c r="J7" s="49">
        <v>278366</v>
      </c>
      <c r="K7" s="49">
        <v>508958</v>
      </c>
      <c r="L7" s="48">
        <f t="shared" ref="L7:L15" si="1">K7</f>
        <v>508958</v>
      </c>
      <c r="M7" s="49">
        <v>131655</v>
      </c>
      <c r="N7" s="49">
        <v>351579</v>
      </c>
      <c r="O7" s="49">
        <v>555846</v>
      </c>
      <c r="P7" s="49">
        <v>843800</v>
      </c>
      <c r="Q7" s="48">
        <f t="shared" ref="Q7:Q15" si="2">P7</f>
        <v>843800</v>
      </c>
      <c r="R7" s="49">
        <v>131950</v>
      </c>
      <c r="S7" s="49">
        <v>368124</v>
      </c>
      <c r="T7" s="49">
        <v>576228</v>
      </c>
      <c r="U7" s="49">
        <v>881271</v>
      </c>
      <c r="V7" s="48">
        <f t="shared" ref="V7:V15" si="3">U7</f>
        <v>881271</v>
      </c>
      <c r="W7" s="49">
        <v>184255</v>
      </c>
      <c r="X7" s="49">
        <v>392317</v>
      </c>
      <c r="Y7" s="49">
        <v>657418</v>
      </c>
      <c r="Z7" s="49">
        <v>854256</v>
      </c>
      <c r="AA7" s="48">
        <f t="shared" ref="AA7:AA15" si="4">Z7</f>
        <v>854256</v>
      </c>
      <c r="AB7" s="49">
        <v>302943</v>
      </c>
      <c r="AC7" s="49">
        <v>845349</v>
      </c>
      <c r="AD7" s="49">
        <v>1691569</v>
      </c>
      <c r="AE7" s="49">
        <v>2054585</v>
      </c>
      <c r="AF7" s="48">
        <f t="shared" ref="AF7:AF15" si="5">AE7</f>
        <v>2054585</v>
      </c>
      <c r="AG7" s="35"/>
      <c r="AH7" s="35"/>
      <c r="AI7" s="35"/>
      <c r="AU7" s="35"/>
    </row>
    <row r="8" spans="1:48" x14ac:dyDescent="0.3">
      <c r="B8" s="44" t="s">
        <v>16</v>
      </c>
      <c r="C8" s="49">
        <v>-44126</v>
      </c>
      <c r="D8" s="49">
        <v>5295</v>
      </c>
      <c r="E8" s="49">
        <v>101253</v>
      </c>
      <c r="F8" s="49">
        <v>173966</v>
      </c>
      <c r="G8" s="48">
        <f t="shared" si="0"/>
        <v>173966</v>
      </c>
      <c r="H8" s="49">
        <v>37558</v>
      </c>
      <c r="I8" s="49">
        <v>252255</v>
      </c>
      <c r="J8" s="49">
        <v>243433</v>
      </c>
      <c r="K8" s="49">
        <v>-64287</v>
      </c>
      <c r="L8" s="48">
        <f t="shared" si="1"/>
        <v>-64287</v>
      </c>
      <c r="M8" s="49">
        <v>105097</v>
      </c>
      <c r="N8" s="49">
        <v>439855</v>
      </c>
      <c r="O8" s="49">
        <v>698345</v>
      </c>
      <c r="P8" s="49">
        <v>773746</v>
      </c>
      <c r="Q8" s="48">
        <f t="shared" si="2"/>
        <v>773746</v>
      </c>
      <c r="R8" s="49">
        <v>591180</v>
      </c>
      <c r="S8" s="49">
        <v>436657</v>
      </c>
      <c r="T8" s="49">
        <v>938080</v>
      </c>
      <c r="U8" s="49">
        <v>1302465</v>
      </c>
      <c r="V8" s="48">
        <f t="shared" si="3"/>
        <v>1302465</v>
      </c>
      <c r="W8" s="49">
        <v>785511</v>
      </c>
      <c r="X8" s="49">
        <v>1278857</v>
      </c>
      <c r="Y8" s="49">
        <v>2860570</v>
      </c>
      <c r="Z8" s="49">
        <v>4072903</v>
      </c>
      <c r="AA8" s="48">
        <f t="shared" si="4"/>
        <v>4072903</v>
      </c>
      <c r="AB8" s="49">
        <v>-393051</v>
      </c>
      <c r="AC8" s="49">
        <v>1482598</v>
      </c>
      <c r="AD8" s="49">
        <f>AD6-AD7</f>
        <v>3247898</v>
      </c>
      <c r="AE8" s="49">
        <f>AE6-AE7</f>
        <v>5685702</v>
      </c>
      <c r="AF8" s="48">
        <f t="shared" si="5"/>
        <v>5685702</v>
      </c>
      <c r="AG8" s="35"/>
      <c r="AH8" s="35"/>
      <c r="AI8" s="35"/>
      <c r="AU8" s="35"/>
    </row>
    <row r="9" spans="1:48" x14ac:dyDescent="0.3">
      <c r="A9" t="s">
        <v>212</v>
      </c>
      <c r="B9" s="34" t="s">
        <v>213</v>
      </c>
      <c r="C9" s="66">
        <v>34632</v>
      </c>
      <c r="D9" s="66">
        <v>-182290</v>
      </c>
      <c r="E9" s="66">
        <v>-117220</v>
      </c>
      <c r="F9" s="66">
        <v>-281433</v>
      </c>
      <c r="G9" s="48">
        <f t="shared" si="0"/>
        <v>-281433</v>
      </c>
      <c r="H9" s="66">
        <v>-1083902</v>
      </c>
      <c r="I9" s="66">
        <v>-1181035</v>
      </c>
      <c r="J9" s="66">
        <v>-1243758</v>
      </c>
      <c r="K9" s="66">
        <v>-1383308</v>
      </c>
      <c r="L9" s="48">
        <f t="shared" si="1"/>
        <v>-1383308</v>
      </c>
      <c r="M9" s="66">
        <v>-693448</v>
      </c>
      <c r="N9" s="66">
        <v>-685886</v>
      </c>
      <c r="O9" s="66">
        <v>-829124</v>
      </c>
      <c r="P9" s="66">
        <v>-585142</v>
      </c>
      <c r="Q9" s="48">
        <f t="shared" si="2"/>
        <v>-585142</v>
      </c>
      <c r="R9" s="66">
        <v>-376098</v>
      </c>
      <c r="S9" s="66">
        <v>-1545634</v>
      </c>
      <c r="T9" s="66">
        <v>-3402632</v>
      </c>
      <c r="U9" s="66">
        <v>-4743320</v>
      </c>
      <c r="V9" s="48">
        <f t="shared" si="3"/>
        <v>-4743320</v>
      </c>
      <c r="W9" s="66">
        <v>549472</v>
      </c>
      <c r="X9" s="66">
        <v>-932880</v>
      </c>
      <c r="Y9" s="66">
        <v>-300711</v>
      </c>
      <c r="Z9" s="66">
        <v>-175963.00823000001</v>
      </c>
      <c r="AA9" s="48">
        <f t="shared" si="4"/>
        <v>-175963.00823000001</v>
      </c>
      <c r="AB9" s="66">
        <v>-10018922</v>
      </c>
      <c r="AC9" s="66">
        <v>-11401193</v>
      </c>
      <c r="AD9" s="66">
        <v>-12533960</v>
      </c>
      <c r="AE9" s="66">
        <v>-13244756</v>
      </c>
      <c r="AF9" s="48">
        <f t="shared" si="5"/>
        <v>-13244756</v>
      </c>
      <c r="AG9" s="35"/>
      <c r="AH9" s="35"/>
      <c r="AI9" s="35"/>
      <c r="AU9" s="35"/>
    </row>
    <row r="10" spans="1:48" x14ac:dyDescent="0.3">
      <c r="A10" t="s">
        <v>214</v>
      </c>
      <c r="B10" s="34" t="s">
        <v>215</v>
      </c>
      <c r="C10" s="66">
        <v>-20496</v>
      </c>
      <c r="D10" s="66">
        <v>74677</v>
      </c>
      <c r="E10" s="66">
        <v>-126571</v>
      </c>
      <c r="F10" s="66">
        <v>121033</v>
      </c>
      <c r="G10" s="48">
        <f t="shared" si="0"/>
        <v>121033</v>
      </c>
      <c r="H10" s="66">
        <v>965729</v>
      </c>
      <c r="I10" s="66">
        <v>986569</v>
      </c>
      <c r="J10" s="66">
        <v>858950</v>
      </c>
      <c r="K10" s="66">
        <v>1189756</v>
      </c>
      <c r="L10" s="48">
        <f t="shared" si="1"/>
        <v>1189756</v>
      </c>
      <c r="M10" s="66">
        <v>262977</v>
      </c>
      <c r="N10" s="66">
        <v>-311639</v>
      </c>
      <c r="O10" s="66">
        <v>-522248</v>
      </c>
      <c r="P10" s="66">
        <v>-713295</v>
      </c>
      <c r="Q10" s="48">
        <f t="shared" si="2"/>
        <v>-713295</v>
      </c>
      <c r="R10" s="66">
        <v>1940661</v>
      </c>
      <c r="S10" s="66">
        <v>3340055</v>
      </c>
      <c r="T10" s="66">
        <v>2961208</v>
      </c>
      <c r="U10" s="66">
        <v>2627429</v>
      </c>
      <c r="V10" s="48">
        <f t="shared" si="3"/>
        <v>2627429</v>
      </c>
      <c r="W10" s="66">
        <v>992899</v>
      </c>
      <c r="X10" s="66">
        <v>2104128</v>
      </c>
      <c r="Y10" s="66">
        <v>4039527</v>
      </c>
      <c r="Z10" s="66">
        <v>4009917</v>
      </c>
      <c r="AA10" s="48">
        <f t="shared" si="4"/>
        <v>4009917</v>
      </c>
      <c r="AB10" s="66">
        <v>1280916</v>
      </c>
      <c r="AC10" s="66">
        <v>823286</v>
      </c>
      <c r="AD10" s="66">
        <v>184543</v>
      </c>
      <c r="AE10" s="66">
        <v>-917103</v>
      </c>
      <c r="AF10" s="48">
        <f t="shared" si="5"/>
        <v>-917103</v>
      </c>
      <c r="AG10" s="35"/>
      <c r="AH10" s="35"/>
      <c r="AI10" s="35"/>
      <c r="AU10" s="35"/>
    </row>
    <row r="11" spans="1:48" x14ac:dyDescent="0.3">
      <c r="A11" t="s">
        <v>216</v>
      </c>
      <c r="B11" s="43" t="s">
        <v>217</v>
      </c>
      <c r="C11" s="49">
        <v>0</v>
      </c>
      <c r="D11" s="49">
        <v>0</v>
      </c>
      <c r="E11" s="49">
        <v>0</v>
      </c>
      <c r="F11" s="49">
        <v>0</v>
      </c>
      <c r="G11" s="48">
        <f t="shared" si="0"/>
        <v>0</v>
      </c>
      <c r="H11" s="49">
        <v>-52958</v>
      </c>
      <c r="I11" s="49">
        <v>-94952</v>
      </c>
      <c r="J11" s="49">
        <v>-123318</v>
      </c>
      <c r="K11" s="49">
        <v>-255208</v>
      </c>
      <c r="L11" s="48">
        <f t="shared" si="1"/>
        <v>-255208</v>
      </c>
      <c r="M11" s="49">
        <v>-67841</v>
      </c>
      <c r="N11" s="49">
        <v>-108905</v>
      </c>
      <c r="O11" s="49">
        <v>-168805</v>
      </c>
      <c r="P11" s="49">
        <v>-244174</v>
      </c>
      <c r="Q11" s="48">
        <f t="shared" si="2"/>
        <v>-244174</v>
      </c>
      <c r="R11" s="49">
        <v>-67841</v>
      </c>
      <c r="S11" s="49">
        <v>-137725</v>
      </c>
      <c r="T11" s="49">
        <v>-172939</v>
      </c>
      <c r="U11" s="49">
        <v>-183922</v>
      </c>
      <c r="V11" s="48">
        <f t="shared" si="3"/>
        <v>-183922</v>
      </c>
      <c r="W11" s="49">
        <v>-25609</v>
      </c>
      <c r="X11" s="49">
        <v>-59087</v>
      </c>
      <c r="Y11" s="49">
        <v>-103431</v>
      </c>
      <c r="Z11" s="49">
        <v>-352759</v>
      </c>
      <c r="AA11" s="48">
        <f t="shared" si="4"/>
        <v>-352759</v>
      </c>
      <c r="AB11" s="49">
        <v>-31283</v>
      </c>
      <c r="AC11" s="49">
        <v>-60835</v>
      </c>
      <c r="AD11" s="49">
        <f>-35964-101416</f>
        <v>-137380</v>
      </c>
      <c r="AE11" s="49">
        <v>-221404</v>
      </c>
      <c r="AF11" s="48">
        <f t="shared" si="5"/>
        <v>-221404</v>
      </c>
      <c r="AG11" s="35"/>
      <c r="AH11" s="35"/>
      <c r="AI11" s="35"/>
      <c r="AU11" s="35"/>
    </row>
    <row r="12" spans="1:48" x14ac:dyDescent="0.3">
      <c r="A12" t="s">
        <v>218</v>
      </c>
      <c r="B12" s="34" t="s">
        <v>219</v>
      </c>
      <c r="C12" s="66">
        <v>-1956</v>
      </c>
      <c r="D12" s="66">
        <v>7441</v>
      </c>
      <c r="E12" s="66">
        <v>11796</v>
      </c>
      <c r="F12" s="66">
        <v>8520</v>
      </c>
      <c r="G12" s="48">
        <f t="shared" si="0"/>
        <v>8520</v>
      </c>
      <c r="H12" s="66">
        <v>2628</v>
      </c>
      <c r="I12" s="66">
        <v>26315</v>
      </c>
      <c r="J12" s="66">
        <v>34937</v>
      </c>
      <c r="K12" s="66">
        <v>21285</v>
      </c>
      <c r="L12" s="48">
        <f t="shared" si="1"/>
        <v>21285</v>
      </c>
      <c r="M12" s="66">
        <v>49501</v>
      </c>
      <c r="N12" s="66">
        <v>66382</v>
      </c>
      <c r="O12" s="66">
        <v>60370</v>
      </c>
      <c r="P12" s="66">
        <v>30767</v>
      </c>
      <c r="Q12" s="48">
        <f t="shared" si="2"/>
        <v>30767</v>
      </c>
      <c r="R12" s="66">
        <v>88065</v>
      </c>
      <c r="S12" s="66">
        <v>-26856</v>
      </c>
      <c r="T12" s="66">
        <v>66822</v>
      </c>
      <c r="U12" s="66">
        <v>93563</v>
      </c>
      <c r="V12" s="48">
        <f t="shared" si="3"/>
        <v>93563</v>
      </c>
      <c r="W12" s="66">
        <v>-391204</v>
      </c>
      <c r="X12" s="66">
        <v>-619722</v>
      </c>
      <c r="Y12" s="66">
        <v>135221</v>
      </c>
      <c r="Z12" s="66">
        <v>-118833</v>
      </c>
      <c r="AA12" s="48">
        <f t="shared" si="4"/>
        <v>-118833</v>
      </c>
      <c r="AB12" s="66">
        <v>-257667</v>
      </c>
      <c r="AC12" s="66">
        <v>-207748</v>
      </c>
      <c r="AD12" s="66">
        <v>22248</v>
      </c>
      <c r="AE12" s="66">
        <v>-855986</v>
      </c>
      <c r="AF12" s="48">
        <f t="shared" si="5"/>
        <v>-855986</v>
      </c>
      <c r="AG12" s="35"/>
      <c r="AH12" s="35"/>
      <c r="AI12" s="35"/>
      <c r="AU12" s="35"/>
    </row>
    <row r="13" spans="1:48" x14ac:dyDescent="0.3">
      <c r="A13" t="s">
        <v>220</v>
      </c>
      <c r="B13" s="34" t="s">
        <v>221</v>
      </c>
      <c r="C13" s="66">
        <v>-5782</v>
      </c>
      <c r="D13" s="66">
        <v>-23114</v>
      </c>
      <c r="E13" s="66">
        <v>-64285</v>
      </c>
      <c r="F13" s="66">
        <v>94548</v>
      </c>
      <c r="G13" s="48">
        <f t="shared" si="0"/>
        <v>94548</v>
      </c>
      <c r="H13" s="66">
        <v>-46747</v>
      </c>
      <c r="I13" s="66">
        <v>205887</v>
      </c>
      <c r="J13" s="66">
        <v>171928</v>
      </c>
      <c r="K13" s="66">
        <v>272404</v>
      </c>
      <c r="L13" s="48">
        <f t="shared" si="1"/>
        <v>272404</v>
      </c>
      <c r="M13" s="66">
        <v>-144218</v>
      </c>
      <c r="N13" s="66">
        <v>-139709</v>
      </c>
      <c r="O13" s="66">
        <v>-36811</v>
      </c>
      <c r="P13" s="66">
        <v>349876</v>
      </c>
      <c r="Q13" s="48">
        <f t="shared" si="2"/>
        <v>349876</v>
      </c>
      <c r="R13" s="66">
        <v>2375758</v>
      </c>
      <c r="S13" s="66">
        <v>2572346</v>
      </c>
      <c r="T13" s="66">
        <v>1139706</v>
      </c>
      <c r="U13" s="66">
        <v>161408</v>
      </c>
      <c r="V13" s="48">
        <f t="shared" si="3"/>
        <v>161408</v>
      </c>
      <c r="W13" s="66">
        <v>2120933</v>
      </c>
      <c r="X13" s="66">
        <v>2222700</v>
      </c>
      <c r="Y13" s="66">
        <v>7392025</v>
      </c>
      <c r="Z13" s="66">
        <v>8642280</v>
      </c>
      <c r="AA13" s="48">
        <f t="shared" si="4"/>
        <v>8642280</v>
      </c>
      <c r="AB13" s="66">
        <v>-9085781</v>
      </c>
      <c r="AC13" s="66">
        <v>-8457708</v>
      </c>
      <c r="AD13" s="66">
        <v>-7387702</v>
      </c>
      <c r="AE13" s="66">
        <v>-7277558</v>
      </c>
      <c r="AF13" s="48">
        <f t="shared" si="5"/>
        <v>-7277558</v>
      </c>
      <c r="AG13" s="35"/>
      <c r="AH13" s="35"/>
      <c r="AI13" s="35"/>
      <c r="AU13" s="35"/>
    </row>
    <row r="14" spans="1:48" x14ac:dyDescent="0.3">
      <c r="A14" t="s">
        <v>222</v>
      </c>
      <c r="B14" s="67" t="s">
        <v>223</v>
      </c>
      <c r="C14" s="49">
        <v>92445</v>
      </c>
      <c r="D14" s="49">
        <v>92445</v>
      </c>
      <c r="E14" s="49">
        <v>92445</v>
      </c>
      <c r="F14" s="49">
        <v>92445</v>
      </c>
      <c r="G14" s="48">
        <f t="shared" si="0"/>
        <v>92445</v>
      </c>
      <c r="H14" s="49">
        <v>154109</v>
      </c>
      <c r="I14" s="49">
        <v>186993</v>
      </c>
      <c r="J14" s="49">
        <v>186993</v>
      </c>
      <c r="K14" s="49">
        <v>186993</v>
      </c>
      <c r="L14" s="48">
        <f t="shared" si="1"/>
        <v>186993</v>
      </c>
      <c r="M14" s="49">
        <v>459397</v>
      </c>
      <c r="N14" s="49">
        <v>459397</v>
      </c>
      <c r="O14" s="49">
        <v>459397</v>
      </c>
      <c r="P14" s="49">
        <v>459397</v>
      </c>
      <c r="Q14" s="48">
        <f t="shared" si="2"/>
        <v>459397</v>
      </c>
      <c r="R14" s="49">
        <v>809273</v>
      </c>
      <c r="S14" s="49">
        <v>809273</v>
      </c>
      <c r="T14" s="49">
        <v>809273</v>
      </c>
      <c r="U14" s="49">
        <v>809273</v>
      </c>
      <c r="V14" s="48">
        <f t="shared" si="3"/>
        <v>809273</v>
      </c>
      <c r="W14" s="49">
        <v>970681</v>
      </c>
      <c r="X14" s="49">
        <v>970681</v>
      </c>
      <c r="Y14" s="49">
        <v>970681</v>
      </c>
      <c r="Z14" s="49">
        <v>970681</v>
      </c>
      <c r="AA14" s="48">
        <f t="shared" si="4"/>
        <v>970681</v>
      </c>
      <c r="AB14" s="49">
        <v>9612961</v>
      </c>
      <c r="AC14" s="49">
        <v>9612961</v>
      </c>
      <c r="AD14" s="49">
        <v>9612961</v>
      </c>
      <c r="AE14" s="49">
        <v>9612961</v>
      </c>
      <c r="AF14" s="48">
        <f t="shared" si="5"/>
        <v>9612961</v>
      </c>
      <c r="AG14" s="35"/>
      <c r="AH14" s="35"/>
      <c r="AI14" s="35"/>
      <c r="AU14" s="35"/>
    </row>
    <row r="15" spans="1:48" x14ac:dyDescent="0.3">
      <c r="A15" t="s">
        <v>224</v>
      </c>
      <c r="B15" s="67" t="s">
        <v>225</v>
      </c>
      <c r="C15" s="49">
        <v>86663</v>
      </c>
      <c r="D15" s="49">
        <v>69331</v>
      </c>
      <c r="E15" s="49">
        <v>28160</v>
      </c>
      <c r="F15" s="49">
        <v>186993</v>
      </c>
      <c r="G15" s="48">
        <f t="shared" si="0"/>
        <v>186993</v>
      </c>
      <c r="H15" s="49">
        <v>107362</v>
      </c>
      <c r="I15" s="49">
        <v>392880</v>
      </c>
      <c r="J15" s="49">
        <v>358921</v>
      </c>
      <c r="K15" s="49">
        <v>459397</v>
      </c>
      <c r="L15" s="48">
        <f t="shared" si="1"/>
        <v>459397</v>
      </c>
      <c r="M15" s="49">
        <v>315179</v>
      </c>
      <c r="N15" s="49">
        <v>319688</v>
      </c>
      <c r="O15" s="49">
        <v>422586</v>
      </c>
      <c r="P15" s="49">
        <v>809273</v>
      </c>
      <c r="Q15" s="48">
        <f t="shared" si="2"/>
        <v>809273</v>
      </c>
      <c r="R15" s="49">
        <v>3185031</v>
      </c>
      <c r="S15" s="49">
        <v>3381619</v>
      </c>
      <c r="T15" s="49">
        <v>1948979</v>
      </c>
      <c r="U15" s="49">
        <v>970681</v>
      </c>
      <c r="V15" s="48">
        <f t="shared" si="3"/>
        <v>970681</v>
      </c>
      <c r="W15" s="49">
        <v>3091614</v>
      </c>
      <c r="X15" s="49">
        <v>3193381</v>
      </c>
      <c r="Y15" s="49">
        <v>8362706</v>
      </c>
      <c r="Z15" s="49">
        <v>9612961</v>
      </c>
      <c r="AA15" s="48">
        <f t="shared" si="4"/>
        <v>9612961</v>
      </c>
      <c r="AB15" s="49">
        <v>527180</v>
      </c>
      <c r="AC15" s="49">
        <v>1155253</v>
      </c>
      <c r="AD15" s="49">
        <v>2225259</v>
      </c>
      <c r="AE15" s="49">
        <v>2335403</v>
      </c>
      <c r="AF15" s="48">
        <f t="shared" si="5"/>
        <v>2335403</v>
      </c>
      <c r="AG15" s="35"/>
      <c r="AH15" s="35"/>
      <c r="AI15" s="35"/>
      <c r="AU15" s="35"/>
    </row>
    <row r="16" spans="1:48" x14ac:dyDescent="0.3">
      <c r="S16" s="1"/>
      <c r="AG16" s="35"/>
      <c r="AH16" s="35"/>
      <c r="AI16" s="35"/>
      <c r="AU16" s="35"/>
      <c r="AV16" s="35"/>
    </row>
    <row r="17" spans="2:48" x14ac:dyDescent="0.3">
      <c r="C17" s="1">
        <f>C6+C9+C10+C12-C13</f>
        <v>0</v>
      </c>
      <c r="D17" s="1">
        <f>D6+D9+D10+D12-D13</f>
        <v>0</v>
      </c>
      <c r="E17" s="1">
        <f>E6+E9+E10+E12-E13</f>
        <v>0</v>
      </c>
      <c r="F17" s="1">
        <f>F6+F9+F10+F12-F13</f>
        <v>0</v>
      </c>
      <c r="G17" s="1"/>
      <c r="H17" s="1">
        <f>H6+H9+H10+H12-H13</f>
        <v>0</v>
      </c>
      <c r="I17" s="1">
        <f>I6+I9+I10+I12-I13</f>
        <v>0</v>
      </c>
      <c r="J17" s="1">
        <f t="shared" ref="J17:R17" si="6">J6+J9+J10+J12-J13</f>
        <v>0</v>
      </c>
      <c r="K17" s="1">
        <f t="shared" si="6"/>
        <v>0</v>
      </c>
      <c r="L17" s="1"/>
      <c r="M17" s="1">
        <f t="shared" si="6"/>
        <v>0</v>
      </c>
      <c r="N17" s="1">
        <f t="shared" si="6"/>
        <v>0</v>
      </c>
      <c r="O17" s="1">
        <f t="shared" si="6"/>
        <v>0</v>
      </c>
      <c r="P17" s="1">
        <f t="shared" si="6"/>
        <v>0</v>
      </c>
      <c r="Q17" s="1"/>
      <c r="R17" s="1">
        <f t="shared" si="6"/>
        <v>0</v>
      </c>
      <c r="S17" s="1">
        <f>S6+S9+S10+S12-S13</f>
        <v>0</v>
      </c>
      <c r="T17" s="1">
        <f>T6+T9+T10+T12-T13</f>
        <v>0</v>
      </c>
      <c r="U17" s="1">
        <f>U6+U9+U10+U12-U13</f>
        <v>0</v>
      </c>
      <c r="V17" s="1"/>
      <c r="W17" s="1">
        <f>W6+W9+W10+W12-W13</f>
        <v>0</v>
      </c>
      <c r="X17" s="1">
        <f>X6+X9+X10+X12-X13</f>
        <v>0</v>
      </c>
      <c r="Y17" s="1">
        <f>Y6+Y9+Y10+Y12-Y13</f>
        <v>0</v>
      </c>
      <c r="Z17" s="1">
        <f>Z6+Z9+Z10+Z12-Z13</f>
        <v>-8.2300007343292236E-3</v>
      </c>
      <c r="AA17" s="1"/>
      <c r="AB17" s="1">
        <f>AB6+AB9+AB10+AB12-AB13</f>
        <v>0</v>
      </c>
      <c r="AC17" s="1">
        <f>AC6+AC9+AC10+AC12-AC13</f>
        <v>0</v>
      </c>
      <c r="AD17" s="1">
        <f>AD6+AD9+AD10+AD12-AD13</f>
        <v>0</v>
      </c>
      <c r="AE17" s="1">
        <f>AE6+AE9+AE10+AE12-AE13</f>
        <v>0</v>
      </c>
      <c r="AF17" s="1"/>
      <c r="AG17" s="35"/>
      <c r="AH17" s="35"/>
      <c r="AI17" s="35"/>
      <c r="AU17" s="35"/>
      <c r="AV17" s="35"/>
    </row>
    <row r="18" spans="2:48" x14ac:dyDescent="0.3">
      <c r="B18" s="67" t="s">
        <v>266</v>
      </c>
      <c r="C18" s="48">
        <f>SUMIFS('Balanço Planilhado'!$17:$17,'Balanço Planilhado'!$1:$1,'Fluxo de Caixa Planilhado'!C$1)</f>
        <v>86663</v>
      </c>
      <c r="D18" s="48">
        <f>SUMIFS('Balanço Planilhado'!$17:$17,'Balanço Planilhado'!$1:$1,'Fluxo de Caixa Planilhado'!D$1)</f>
        <v>69331</v>
      </c>
      <c r="E18" s="48">
        <f>SUMIFS('Balanço Planilhado'!$17:$17,'Balanço Planilhado'!$1:$1,'Fluxo de Caixa Planilhado'!E$1)</f>
        <v>28160</v>
      </c>
      <c r="F18" s="48">
        <f>SUMIFS('Balanço Planilhado'!$17:$17,'Balanço Planilhado'!$1:$1,'Fluxo de Caixa Planilhado'!F$1)</f>
        <v>186993</v>
      </c>
      <c r="G18" s="48">
        <f>SUMIFS('Balanço Planilhado'!$17:$17,'Balanço Planilhado'!$1:$1,'Fluxo de Caixa Planilhado'!G$1)</f>
        <v>186993</v>
      </c>
      <c r="H18" s="48">
        <f>SUMIFS('Balanço Planilhado'!$17:$17,'Balanço Planilhado'!$1:$1,'Fluxo de Caixa Planilhado'!H$1)</f>
        <v>107363</v>
      </c>
      <c r="I18" s="48">
        <f>SUMIFS('Balanço Planilhado'!$17:$17,'Balanço Planilhado'!$1:$1,'Fluxo de Caixa Planilhado'!I$1)</f>
        <v>392879</v>
      </c>
      <c r="J18" s="48">
        <f>SUMIFS('Balanço Planilhado'!$17:$17,'Balanço Planilhado'!$1:$1,'Fluxo de Caixa Planilhado'!J$1)</f>
        <v>358921</v>
      </c>
      <c r="K18" s="48">
        <f>SUMIFS('Balanço Planilhado'!$17:$17,'Balanço Planilhado'!$1:$1,'Fluxo de Caixa Planilhado'!K$1)</f>
        <v>459396</v>
      </c>
      <c r="L18" s="48">
        <f>SUMIFS('Balanço Planilhado'!$17:$17,'Balanço Planilhado'!$1:$1,'Fluxo de Caixa Planilhado'!L$1)</f>
        <v>459396</v>
      </c>
      <c r="M18" s="48">
        <f>SUMIFS('Balanço Planilhado'!$17:$17,'Balanço Planilhado'!$1:$1,'Fluxo de Caixa Planilhado'!M$1)</f>
        <v>315180</v>
      </c>
      <c r="N18" s="48">
        <f>SUMIFS('Balanço Planilhado'!$17:$17,'Balanço Planilhado'!$1:$1,'Fluxo de Caixa Planilhado'!N$1)</f>
        <v>319688</v>
      </c>
      <c r="O18" s="48">
        <f>SUMIFS('Balanço Planilhado'!$17:$17,'Balanço Planilhado'!$1:$1,'Fluxo de Caixa Planilhado'!O$1)</f>
        <v>422585</v>
      </c>
      <c r="P18" s="48">
        <f>SUMIFS('Balanço Planilhado'!$17:$17,'Balanço Planilhado'!$1:$1,'Fluxo de Caixa Planilhado'!P$1)</f>
        <v>809273</v>
      </c>
      <c r="Q18" s="48">
        <f>SUMIFS('Balanço Planilhado'!$17:$17,'Balanço Planilhado'!$1:$1,'Fluxo de Caixa Planilhado'!Q$1)</f>
        <v>809273</v>
      </c>
      <c r="R18" s="48">
        <f>SUMIFS('Balanço Planilhado'!$17:$17,'Balanço Planilhado'!$1:$1,'Fluxo de Caixa Planilhado'!R$1)</f>
        <v>3185031</v>
      </c>
      <c r="S18" s="48">
        <f>SUMIFS('Balanço Planilhado'!$17:$17,'Balanço Planilhado'!$1:$1,'Fluxo de Caixa Planilhado'!S$1)</f>
        <v>3381619</v>
      </c>
      <c r="T18" s="48">
        <f>SUMIFS('Balanço Planilhado'!$17:$17,'Balanço Planilhado'!$1:$1,'Fluxo de Caixa Planilhado'!T$1)</f>
        <v>1948979</v>
      </c>
      <c r="U18" s="48">
        <f>SUMIFS('Balanço Planilhado'!$17:$17,'Balanço Planilhado'!$1:$1,'Fluxo de Caixa Planilhado'!U$1)</f>
        <v>970681</v>
      </c>
      <c r="V18" s="48">
        <f>SUMIFS('Balanço Planilhado'!$17:$17,'Balanço Planilhado'!$1:$1,'Fluxo de Caixa Planilhado'!V$1)</f>
        <v>970681</v>
      </c>
      <c r="W18" s="48">
        <f>SUMIFS('Balanço Planilhado'!$17:$17,'Balanço Planilhado'!$1:$1,'Fluxo de Caixa Planilhado'!W$1)</f>
        <v>3091614</v>
      </c>
      <c r="X18" s="48">
        <f>SUMIFS('Balanço Planilhado'!$17:$17,'Balanço Planilhado'!$1:$1,'Fluxo de Caixa Planilhado'!X$1)</f>
        <v>3193381</v>
      </c>
      <c r="Y18" s="48">
        <f>SUMIFS('Balanço Planilhado'!$17:$17,'Balanço Planilhado'!$1:$1,'Fluxo de Caixa Planilhado'!Y$1)</f>
        <v>8362706</v>
      </c>
      <c r="Z18" s="48">
        <f>SUMIFS('Balanço Planilhado'!$17:$17,'Balanço Planilhado'!$1:$1,'Fluxo de Caixa Planilhado'!Z$1)</f>
        <v>9612961</v>
      </c>
      <c r="AA18" s="48">
        <f>SUMIFS('Balanço Planilhado'!$17:$17,'Balanço Planilhado'!$1:$1,'Fluxo de Caixa Planilhado'!AA$1)</f>
        <v>9612961</v>
      </c>
      <c r="AB18" s="48">
        <f>SUMIFS('Balanço Planilhado'!$17:$17,'Balanço Planilhado'!$1:$1,'Fluxo de Caixa Planilhado'!AB$1)</f>
        <v>527180</v>
      </c>
      <c r="AC18" s="48">
        <f>SUMIFS('Balanço Planilhado'!$17:$17,'Balanço Planilhado'!$1:$1,'Fluxo de Caixa Planilhado'!AC$1)</f>
        <v>1155253</v>
      </c>
      <c r="AD18" s="48">
        <f>SUMIFS('Balanço Planilhado'!$17:$17,'Balanço Planilhado'!$1:$1,'Fluxo de Caixa Planilhado'!AD$1)</f>
        <v>2225259</v>
      </c>
      <c r="AE18" s="48">
        <f>SUMIFS('Balanço Planilhado'!$17:$17,'Balanço Planilhado'!$1:$1,'Fluxo de Caixa Planilhado'!AE$1)</f>
        <v>2335403</v>
      </c>
      <c r="AF18" s="48">
        <f>SUMIFS('Balanço Planilhado'!$17:$17,'Balanço Planilhado'!$1:$1,'Fluxo de Caixa Planilhado'!AF$1)</f>
        <v>2335403</v>
      </c>
      <c r="AG18" s="35"/>
      <c r="AH18" s="35"/>
      <c r="AI18" s="35"/>
      <c r="AJ18" s="35"/>
      <c r="AM18" s="35"/>
      <c r="AN18" s="35"/>
      <c r="AO18" s="35"/>
      <c r="AP18" s="35"/>
      <c r="AQ18" s="35"/>
      <c r="AR18" s="35"/>
      <c r="AS18" s="35"/>
      <c r="AT18" s="35"/>
      <c r="AU18" s="35"/>
      <c r="AV18" s="35"/>
    </row>
    <row r="19" spans="2:48" x14ac:dyDescent="0.3">
      <c r="AG19" s="35"/>
      <c r="AH19" s="35"/>
      <c r="AI19" s="35"/>
      <c r="AJ19" s="35"/>
      <c r="AM19" s="35"/>
      <c r="AN19" s="35"/>
      <c r="AO19" s="35"/>
      <c r="AP19" s="35"/>
      <c r="AQ19" s="35"/>
    </row>
    <row r="20" spans="2:48" x14ac:dyDescent="0.3">
      <c r="AE20" s="1"/>
      <c r="AG20" s="35"/>
      <c r="AH20" s="35"/>
      <c r="AI20" s="35"/>
      <c r="AJ20" s="35"/>
    </row>
    <row r="21" spans="2:48" x14ac:dyDescent="0.3">
      <c r="W21" s="1"/>
      <c r="AE21" s="1"/>
      <c r="AG21" s="35"/>
      <c r="AH21" s="35"/>
      <c r="AI21" s="35"/>
      <c r="AJ21" s="35"/>
    </row>
    <row r="22" spans="2:48" x14ac:dyDescent="0.3">
      <c r="I22" s="1"/>
      <c r="J22" s="1"/>
      <c r="M22" s="1"/>
      <c r="U22" s="1"/>
      <c r="W22" s="1"/>
      <c r="AG22" s="35"/>
      <c r="AH22" s="35"/>
      <c r="AI22" s="35"/>
      <c r="AJ22" s="35"/>
    </row>
    <row r="23" spans="2:48" x14ac:dyDescent="0.3">
      <c r="I23" s="1"/>
      <c r="J23" s="1"/>
      <c r="M23" s="1"/>
      <c r="U23" s="1"/>
      <c r="AG23" s="35"/>
      <c r="AH23" s="35"/>
      <c r="AI23" s="35"/>
      <c r="AJ23" s="35"/>
    </row>
    <row r="24" spans="2:48" x14ac:dyDescent="0.3">
      <c r="AC24" s="1"/>
      <c r="AG24" s="35"/>
      <c r="AH24" s="35"/>
      <c r="AI24" s="35"/>
      <c r="AJ24" s="35"/>
    </row>
    <row r="25" spans="2:48" x14ac:dyDescent="0.3">
      <c r="W25" s="1"/>
      <c r="AC25" s="1"/>
      <c r="AG25" s="35"/>
      <c r="AH25" s="35"/>
      <c r="AI25" s="35"/>
    </row>
    <row r="26" spans="2:48" x14ac:dyDescent="0.3">
      <c r="W26" s="1"/>
      <c r="X26" s="1"/>
      <c r="AG26" s="35"/>
      <c r="AH26" s="35"/>
      <c r="AI26" s="35"/>
    </row>
    <row r="27" spans="2:48" x14ac:dyDescent="0.3">
      <c r="X27" s="1"/>
      <c r="AG27" s="35"/>
      <c r="AH27" s="35"/>
      <c r="AI27" s="35"/>
    </row>
    <row r="28" spans="2:48" x14ac:dyDescent="0.3">
      <c r="AG28" s="35"/>
      <c r="AH28" s="35"/>
      <c r="AI28" s="35"/>
    </row>
    <row r="29" spans="2:48" x14ac:dyDescent="0.3">
      <c r="AG29" s="35"/>
      <c r="AH29" s="35"/>
      <c r="AI29" s="35"/>
    </row>
    <row r="30" spans="2:48" x14ac:dyDescent="0.3">
      <c r="AG30" s="35"/>
      <c r="AH30" s="35"/>
      <c r="AI30" s="35"/>
    </row>
    <row r="31" spans="2:48" x14ac:dyDescent="0.3">
      <c r="AG31" s="35"/>
      <c r="AH31" s="35"/>
      <c r="AI31" s="35"/>
    </row>
    <row r="32" spans="2:48" x14ac:dyDescent="0.3">
      <c r="AG32" s="35"/>
      <c r="AH32" s="35"/>
      <c r="AI32" s="35"/>
    </row>
    <row r="33" spans="33:35" x14ac:dyDescent="0.3">
      <c r="AG33" s="35"/>
      <c r="AH33" s="35"/>
      <c r="AI33" s="35"/>
    </row>
    <row r="34" spans="33:35" x14ac:dyDescent="0.3">
      <c r="AG34" s="35"/>
      <c r="AH34" s="35"/>
      <c r="AI34" s="35"/>
    </row>
    <row r="35" spans="33:35" x14ac:dyDescent="0.3">
      <c r="AG35" s="35"/>
      <c r="AH35" s="35"/>
      <c r="AI35" s="35"/>
    </row>
    <row r="36" spans="33:35" x14ac:dyDescent="0.3">
      <c r="AG36" s="35"/>
      <c r="AH36" s="35"/>
      <c r="AI36" s="35"/>
    </row>
    <row r="37" spans="33:35" x14ac:dyDescent="0.3">
      <c r="AG37" s="35"/>
      <c r="AH37" s="35"/>
      <c r="AI37" s="35"/>
    </row>
    <row r="38" spans="33:35" x14ac:dyDescent="0.3">
      <c r="AG38" s="35"/>
      <c r="AH38" s="35"/>
      <c r="AI38" s="35"/>
    </row>
    <row r="39" spans="33:35" x14ac:dyDescent="0.3">
      <c r="AG39" s="35"/>
      <c r="AH39" s="35"/>
      <c r="AI39" s="35"/>
    </row>
    <row r="40" spans="33:35" x14ac:dyDescent="0.3">
      <c r="AG40" s="35"/>
      <c r="AH40" s="35"/>
      <c r="AI40" s="35"/>
    </row>
    <row r="41" spans="33:35" x14ac:dyDescent="0.3">
      <c r="AG41" s="35"/>
      <c r="AH41" s="35"/>
      <c r="AI41" s="35"/>
    </row>
    <row r="42" spans="33:35" x14ac:dyDescent="0.3">
      <c r="AG42" s="35"/>
      <c r="AH42" s="35"/>
      <c r="AI42" s="35"/>
    </row>
    <row r="43" spans="33:35" x14ac:dyDescent="0.3">
      <c r="AG43" s="35"/>
      <c r="AH43" s="35"/>
      <c r="AI43" s="35"/>
    </row>
    <row r="44" spans="33:35" x14ac:dyDescent="0.3">
      <c r="AG44" s="35"/>
      <c r="AH44" s="35"/>
      <c r="AI44" s="35"/>
    </row>
    <row r="45" spans="33:35" x14ac:dyDescent="0.3">
      <c r="AG45" s="35"/>
      <c r="AH45" s="35"/>
      <c r="AI45" s="35"/>
    </row>
    <row r="46" spans="33:35" x14ac:dyDescent="0.3">
      <c r="AG46" s="35"/>
      <c r="AH46" s="35"/>
      <c r="AI46" s="35"/>
    </row>
    <row r="47" spans="33:35" x14ac:dyDescent="0.3">
      <c r="AG47" s="35"/>
      <c r="AH47" s="35"/>
      <c r="AI47" s="35"/>
    </row>
    <row r="48" spans="33:35" x14ac:dyDescent="0.3">
      <c r="AG48" s="35"/>
      <c r="AH48" s="35"/>
      <c r="AI48" s="35"/>
    </row>
    <row r="49" spans="33:35" x14ac:dyDescent="0.3">
      <c r="AG49" s="35"/>
      <c r="AH49" s="35"/>
      <c r="AI49" s="35"/>
    </row>
    <row r="50" spans="33:35" x14ac:dyDescent="0.3">
      <c r="AG50" s="35"/>
      <c r="AH50" s="35"/>
      <c r="AI50" s="35"/>
    </row>
    <row r="51" spans="33:35" x14ac:dyDescent="0.3">
      <c r="AG51" s="35"/>
      <c r="AH51" s="35"/>
      <c r="AI51" s="35"/>
    </row>
    <row r="52" spans="33:35" x14ac:dyDescent="0.3">
      <c r="AG52" s="35"/>
      <c r="AH52" s="35"/>
      <c r="AI52" s="35"/>
    </row>
    <row r="53" spans="33:35" x14ac:dyDescent="0.3">
      <c r="AG53" s="35"/>
      <c r="AH53" s="35"/>
      <c r="AI53" s="35"/>
    </row>
    <row r="54" spans="33:35" x14ac:dyDescent="0.3">
      <c r="AG54" s="35"/>
      <c r="AH54" s="35"/>
      <c r="AI54" s="35"/>
    </row>
    <row r="55" spans="33:35" x14ac:dyDescent="0.3">
      <c r="AG55" s="35"/>
      <c r="AH55" s="35"/>
      <c r="AI55" s="35"/>
    </row>
    <row r="56" spans="33:35" x14ac:dyDescent="0.3">
      <c r="AG56" s="35"/>
      <c r="AH56" s="35"/>
      <c r="AI56" s="35"/>
    </row>
    <row r="57" spans="33:35" x14ac:dyDescent="0.3">
      <c r="AG57" s="35"/>
      <c r="AH57" s="35"/>
      <c r="AI57" s="35"/>
    </row>
    <row r="58" spans="33:35" x14ac:dyDescent="0.3">
      <c r="AG58" s="35"/>
      <c r="AH58" s="35"/>
      <c r="AI58" s="35"/>
    </row>
    <row r="59" spans="33:35" x14ac:dyDescent="0.3">
      <c r="AG59" s="35"/>
      <c r="AH59" s="35"/>
      <c r="AI59" s="35"/>
    </row>
    <row r="74" spans="23:32" x14ac:dyDescent="0.3">
      <c r="W74" s="35"/>
      <c r="X74" s="35"/>
      <c r="Y74" s="35"/>
      <c r="Z74" s="35"/>
      <c r="AA74" s="35"/>
      <c r="AF74" s="35"/>
    </row>
    <row r="75" spans="23:32" x14ac:dyDescent="0.3">
      <c r="W75" s="35"/>
      <c r="X75" s="35"/>
      <c r="Y75" s="35"/>
      <c r="Z75" s="35"/>
      <c r="AA75" s="35"/>
      <c r="AF75" s="35"/>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84161-D55F-4F37-8F4D-D6A22489168C}">
  <sheetPr>
    <tabColor theme="9" tint="-0.499984740745262"/>
  </sheetPr>
  <dimension ref="A1:BL53"/>
  <sheetViews>
    <sheetView showGridLines="0" zoomScaleNormal="100" workbookViewId="0">
      <pane xSplit="2" ySplit="1" topLeftCell="K11" activePane="bottomRight" state="frozen"/>
      <selection pane="topRight" activeCell="C1" sqref="C1"/>
      <selection pane="bottomLeft" activeCell="A2" sqref="A2"/>
      <selection pane="bottomRight" activeCell="AB58" sqref="AB58"/>
    </sheetView>
  </sheetViews>
  <sheetFormatPr defaultRowHeight="14.4" x14ac:dyDescent="0.3"/>
  <cols>
    <col min="1" max="1" width="38.5546875" bestFit="1" customWidth="1"/>
    <col min="30" max="30" width="10.109375" bestFit="1" customWidth="1"/>
    <col min="32" max="32" width="9.109375" bestFit="1" customWidth="1"/>
  </cols>
  <sheetData>
    <row r="1" spans="1:64" s="1" customFormat="1" x14ac:dyDescent="0.3">
      <c r="C1" s="41" t="s">
        <v>246</v>
      </c>
      <c r="D1" s="41" t="s">
        <v>245</v>
      </c>
      <c r="E1" s="41" t="s">
        <v>244</v>
      </c>
      <c r="F1" s="41" t="s">
        <v>238</v>
      </c>
      <c r="G1" s="41">
        <v>2018</v>
      </c>
      <c r="H1" s="41" t="s">
        <v>243</v>
      </c>
      <c r="I1" s="41" t="s">
        <v>242</v>
      </c>
      <c r="J1" s="41" t="s">
        <v>241</v>
      </c>
      <c r="K1" s="41" t="s">
        <v>239</v>
      </c>
      <c r="L1" s="41">
        <v>2019</v>
      </c>
      <c r="M1" s="41" t="s">
        <v>237</v>
      </c>
      <c r="N1" s="41" t="s">
        <v>236</v>
      </c>
      <c r="O1" s="41" t="s">
        <v>240</v>
      </c>
      <c r="P1" s="41" t="s">
        <v>228</v>
      </c>
      <c r="Q1" s="41">
        <v>2020</v>
      </c>
      <c r="R1" s="41" t="s">
        <v>234</v>
      </c>
      <c r="S1" s="41" t="s">
        <v>233</v>
      </c>
      <c r="T1" s="41" t="s">
        <v>231</v>
      </c>
      <c r="U1" s="41" t="s">
        <v>227</v>
      </c>
      <c r="V1" s="41">
        <v>2021</v>
      </c>
      <c r="W1" s="41" t="s">
        <v>232</v>
      </c>
      <c r="X1" s="41" t="s">
        <v>230</v>
      </c>
      <c r="Y1" s="41" t="s">
        <v>229</v>
      </c>
      <c r="Z1" s="41" t="s">
        <v>226</v>
      </c>
      <c r="AA1" s="41">
        <v>2022</v>
      </c>
      <c r="AB1" s="41" t="s">
        <v>138</v>
      </c>
      <c r="AC1" s="41" t="s">
        <v>139</v>
      </c>
      <c r="AD1" s="41" t="s">
        <v>270</v>
      </c>
      <c r="AE1" s="41" t="s">
        <v>271</v>
      </c>
      <c r="AF1" s="41">
        <v>2023</v>
      </c>
      <c r="AG1" s="41">
        <f>'Receita Líquida - O&amp;G'!AG1</f>
        <v>2024</v>
      </c>
      <c r="AH1" s="41">
        <f>'Receita Líquida - O&amp;G'!AH1</f>
        <v>2025</v>
      </c>
      <c r="AI1" s="41">
        <f>'Receita Líquida - O&amp;G'!AI1</f>
        <v>2026</v>
      </c>
      <c r="AJ1" s="41">
        <f>'Receita Líquida - O&amp;G'!AJ1</f>
        <v>2027</v>
      </c>
      <c r="AK1" s="41">
        <f>'Receita Líquida - O&amp;G'!AK1</f>
        <v>2028</v>
      </c>
      <c r="AL1" s="41">
        <f>'Receita Líquida - O&amp;G'!AL1</f>
        <v>2029</v>
      </c>
      <c r="AM1" s="41">
        <f>'Receita Líquida - O&amp;G'!AM1</f>
        <v>2030</v>
      </c>
      <c r="AN1" s="41">
        <f>'Receita Líquida - O&amp;G'!AN1</f>
        <v>2031</v>
      </c>
      <c r="AO1" s="41">
        <f>'Receita Líquida - O&amp;G'!AO1</f>
        <v>2032</v>
      </c>
      <c r="AP1" s="41">
        <f>'Receita Líquida - O&amp;G'!AP1</f>
        <v>2033</v>
      </c>
      <c r="AQ1" s="41">
        <f>'Receita Líquida - O&amp;G'!AQ1</f>
        <v>2034</v>
      </c>
      <c r="AR1" s="41">
        <f>'Receita Líquida - O&amp;G'!AR1</f>
        <v>2035</v>
      </c>
      <c r="AS1" s="41">
        <f>'Receita Líquida - O&amp;G'!AS1</f>
        <v>2036</v>
      </c>
      <c r="AT1" s="41">
        <f>'Receita Líquida - O&amp;G'!AT1</f>
        <v>2037</v>
      </c>
      <c r="AU1" s="41">
        <f>'Receita Líquida - O&amp;G'!AU1</f>
        <v>2038</v>
      </c>
      <c r="AV1" s="41">
        <f>'Receita Líquida - O&amp;G'!AV1</f>
        <v>2039</v>
      </c>
      <c r="AW1" s="41">
        <f>'Receita Líquida - O&amp;G'!AW1</f>
        <v>2040</v>
      </c>
      <c r="AX1" s="41">
        <f>'Receita Líquida - O&amp;G'!AX1</f>
        <v>2041</v>
      </c>
      <c r="AY1" s="41">
        <f>'Receita Líquida - O&amp;G'!AY1</f>
        <v>2042</v>
      </c>
      <c r="AZ1" s="41">
        <f>'Receita Líquida - O&amp;G'!AZ1</f>
        <v>2043</v>
      </c>
      <c r="BA1" s="41">
        <f>'Receita Líquida - O&amp;G'!BA1</f>
        <v>2044</v>
      </c>
      <c r="BB1" s="41">
        <f>'Receita Líquida - O&amp;G'!BB1</f>
        <v>2045</v>
      </c>
      <c r="BC1" s="41">
        <f>'Receita Líquida - O&amp;G'!BC1</f>
        <v>2046</v>
      </c>
      <c r="BD1" s="41">
        <f>'Receita Líquida - O&amp;G'!BD1</f>
        <v>2047</v>
      </c>
      <c r="BE1" s="41">
        <f>'Receita Líquida - O&amp;G'!BE1</f>
        <v>2048</v>
      </c>
      <c r="BF1" s="41">
        <f>'Receita Líquida - O&amp;G'!BF1</f>
        <v>2049</v>
      </c>
      <c r="BG1" s="41">
        <f>'Receita Líquida - O&amp;G'!BG1</f>
        <v>2050</v>
      </c>
      <c r="BH1" s="41">
        <f>'Receita Líquida - O&amp;G'!BH1</f>
        <v>2051</v>
      </c>
      <c r="BI1" s="41">
        <f>'Receita Líquida - O&amp;G'!BI1</f>
        <v>2052</v>
      </c>
      <c r="BJ1" s="41">
        <f>'Receita Líquida - O&amp;G'!BJ1</f>
        <v>2053</v>
      </c>
      <c r="BK1" s="41">
        <f>'Receita Líquida - O&amp;G'!BK1</f>
        <v>2054</v>
      </c>
      <c r="BL1" s="41">
        <f>'Receita Líquida - O&amp;G'!BL1</f>
        <v>2055</v>
      </c>
    </row>
    <row r="2" spans="1:64" x14ac:dyDescent="0.3">
      <c r="B2" s="34" t="s">
        <v>383</v>
      </c>
      <c r="C2" s="51">
        <f>'Fluxo de Caixa dos Acionistas'!C5</f>
        <v>90</v>
      </c>
      <c r="D2" s="51">
        <f>'Fluxo de Caixa dos Acionistas'!D5</f>
        <v>91</v>
      </c>
      <c r="E2" s="51">
        <f>'Fluxo de Caixa dos Acionistas'!E5</f>
        <v>92</v>
      </c>
      <c r="F2" s="51">
        <f>'Fluxo de Caixa dos Acionistas'!F5</f>
        <v>92</v>
      </c>
      <c r="G2" s="51">
        <f>'Fluxo de Caixa dos Acionistas'!G5</f>
        <v>365</v>
      </c>
      <c r="H2" s="51">
        <f>'Fluxo de Caixa dos Acionistas'!H5</f>
        <v>90</v>
      </c>
      <c r="I2" s="51">
        <f>'Fluxo de Caixa dos Acionistas'!I5</f>
        <v>91</v>
      </c>
      <c r="J2" s="51">
        <f>'Fluxo de Caixa dos Acionistas'!J5</f>
        <v>92</v>
      </c>
      <c r="K2" s="51">
        <f>'Fluxo de Caixa dos Acionistas'!K5</f>
        <v>92</v>
      </c>
      <c r="L2" s="51">
        <f>'Fluxo de Caixa dos Acionistas'!L5</f>
        <v>365</v>
      </c>
      <c r="M2" s="51">
        <f>'Fluxo de Caixa dos Acionistas'!M5</f>
        <v>91</v>
      </c>
      <c r="N2" s="51">
        <f>'Fluxo de Caixa dos Acionistas'!N5</f>
        <v>91</v>
      </c>
      <c r="O2" s="51">
        <f>'Fluxo de Caixa dos Acionistas'!O5</f>
        <v>92</v>
      </c>
      <c r="P2" s="51">
        <f>'Fluxo de Caixa dos Acionistas'!P5</f>
        <v>92</v>
      </c>
      <c r="Q2" s="51">
        <f>'Fluxo de Caixa dos Acionistas'!Q5</f>
        <v>366</v>
      </c>
      <c r="R2" s="51">
        <f>'Fluxo de Caixa dos Acionistas'!R5</f>
        <v>90</v>
      </c>
      <c r="S2" s="51">
        <f>'Fluxo de Caixa dos Acionistas'!S5</f>
        <v>91</v>
      </c>
      <c r="T2" s="51">
        <f>'Fluxo de Caixa dos Acionistas'!T5</f>
        <v>92</v>
      </c>
      <c r="U2" s="51">
        <f>'Fluxo de Caixa dos Acionistas'!U5</f>
        <v>92</v>
      </c>
      <c r="V2" s="51">
        <f>'Fluxo de Caixa dos Acionistas'!V5</f>
        <v>365</v>
      </c>
      <c r="W2" s="51">
        <f>'Fluxo de Caixa dos Acionistas'!W5</f>
        <v>90</v>
      </c>
      <c r="X2" s="51">
        <f>'Fluxo de Caixa dos Acionistas'!X5</f>
        <v>91</v>
      </c>
      <c r="Y2" s="51">
        <f>'Fluxo de Caixa dos Acionistas'!Y5</f>
        <v>92</v>
      </c>
      <c r="Z2" s="51">
        <f>'Fluxo de Caixa dos Acionistas'!Z5</f>
        <v>92</v>
      </c>
      <c r="AA2" s="51">
        <f>'Fluxo de Caixa dos Acionistas'!AA5</f>
        <v>365</v>
      </c>
      <c r="AB2" s="51">
        <f>'Fluxo de Caixa dos Acionistas'!AB5</f>
        <v>90</v>
      </c>
      <c r="AC2" s="51">
        <f>'Fluxo de Caixa dos Acionistas'!AC5</f>
        <v>91</v>
      </c>
      <c r="AD2" s="51">
        <f>'Fluxo de Caixa dos Acionistas'!AD5</f>
        <v>92</v>
      </c>
      <c r="AE2" s="51">
        <f>'Fluxo de Caixa dos Acionistas'!AE5</f>
        <v>92</v>
      </c>
      <c r="AF2" s="51">
        <f>'Fluxo de Caixa dos Acionistas'!AF5</f>
        <v>365</v>
      </c>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4" spans="1:64" s="212" customFormat="1" x14ac:dyDescent="0.3">
      <c r="A4" s="212" t="s">
        <v>262</v>
      </c>
      <c r="C4" s="216"/>
      <c r="D4" s="216"/>
      <c r="E4" s="216"/>
      <c r="F4" s="216"/>
      <c r="G4" s="216"/>
      <c r="H4" s="216"/>
      <c r="I4" s="216"/>
      <c r="J4" s="216"/>
      <c r="K4" s="216"/>
      <c r="L4" s="216"/>
      <c r="M4" s="216"/>
      <c r="N4" s="216"/>
      <c r="O4" s="216"/>
      <c r="P4" s="216"/>
      <c r="Q4" s="216"/>
      <c r="R4" s="216"/>
      <c r="S4" s="216"/>
      <c r="T4" s="216"/>
      <c r="U4" s="216"/>
      <c r="V4" s="216"/>
      <c r="W4" s="216"/>
      <c r="X4" s="216"/>
      <c r="Y4" s="216"/>
      <c r="Z4" s="216"/>
      <c r="AA4" s="216"/>
      <c r="AB4" s="216"/>
      <c r="AC4" s="216"/>
      <c r="AD4" s="216"/>
    </row>
    <row r="5" spans="1:64" s="46" customFormat="1" x14ac:dyDescent="0.3">
      <c r="C5" s="57"/>
      <c r="D5" s="57"/>
      <c r="E5" s="57"/>
      <c r="F5" s="57"/>
      <c r="G5" s="57"/>
      <c r="H5" s="57"/>
      <c r="I5" s="57"/>
      <c r="J5" s="57"/>
      <c r="K5" s="57"/>
      <c r="L5" s="57"/>
      <c r="M5" s="57"/>
      <c r="N5" s="57"/>
      <c r="O5" s="57"/>
      <c r="P5" s="57"/>
      <c r="Q5" s="57"/>
      <c r="R5" s="57"/>
      <c r="S5" s="57"/>
      <c r="T5" s="57"/>
      <c r="U5" s="57"/>
      <c r="V5" s="100"/>
      <c r="W5" s="100"/>
      <c r="X5" s="100"/>
      <c r="Y5" s="100"/>
      <c r="Z5" s="100"/>
      <c r="AA5" s="100"/>
      <c r="AB5" s="100"/>
      <c r="AC5" s="100"/>
      <c r="AD5" s="100"/>
    </row>
    <row r="6" spans="1:64" s="46" customFormat="1" x14ac:dyDescent="0.3">
      <c r="A6" s="46" t="s">
        <v>250</v>
      </c>
      <c r="C6" s="58">
        <v>44.2</v>
      </c>
      <c r="D6" s="58">
        <v>34</v>
      </c>
      <c r="E6" s="58">
        <v>26.6</v>
      </c>
      <c r="F6" s="58">
        <v>30.6</v>
      </c>
      <c r="G6" s="59">
        <f>SUMPRODUCT(C12:F12,C6:F6)/SUM(C12:F12)</f>
        <v>33.313064732680765</v>
      </c>
      <c r="H6" s="58">
        <v>27.8</v>
      </c>
      <c r="I6" s="58">
        <v>23.9</v>
      </c>
      <c r="J6" s="58">
        <v>22.9</v>
      </c>
      <c r="K6" s="58">
        <v>19.7</v>
      </c>
      <c r="L6" s="59">
        <f>SUMPRODUCT(H12:K12,H6:K6)/SUM(H12:K12)</f>
        <v>23.466802344361628</v>
      </c>
      <c r="M6" s="58">
        <v>17.3</v>
      </c>
      <c r="N6" s="58">
        <v>13.7</v>
      </c>
      <c r="O6" s="58">
        <v>12.8</v>
      </c>
      <c r="P6" s="58">
        <v>14.7</v>
      </c>
      <c r="Q6" s="59">
        <f>SUMPRODUCT(M12:P12,M6:P6)/SUM(M12:P12)</f>
        <v>14.52760560730078</v>
      </c>
      <c r="R6" s="58">
        <v>14.3</v>
      </c>
      <c r="S6" s="58">
        <v>14.2</v>
      </c>
      <c r="T6" s="58">
        <v>12.3</v>
      </c>
      <c r="U6" s="58">
        <v>11.8</v>
      </c>
      <c r="V6" s="59">
        <f>SUMPRODUCT(R12:U12,R6:U6)/SUM(R12:U12)</f>
        <v>13.136769392580645</v>
      </c>
      <c r="W6" s="58">
        <v>11.2</v>
      </c>
      <c r="X6" s="58">
        <v>11.1</v>
      </c>
      <c r="Y6" s="58">
        <v>9.5</v>
      </c>
      <c r="Z6" s="58">
        <v>8.6</v>
      </c>
      <c r="AA6" s="59">
        <f>SUMPRODUCT(W12:Z12,W6:Z6)/SUM(W12:Z12)</f>
        <v>9.9339560168025685</v>
      </c>
      <c r="AB6" s="58">
        <v>9.5</v>
      </c>
      <c r="AC6" s="58">
        <v>7.4</v>
      </c>
      <c r="AD6" s="58">
        <v>7</v>
      </c>
      <c r="AE6" s="58">
        <v>6.8</v>
      </c>
      <c r="AF6" s="59">
        <f>SUMPRODUCT(AB12:AE12,AB6:AE6)/SUM(AB12:AE12)</f>
        <v>7.4795584516575815</v>
      </c>
    </row>
    <row r="7" spans="1:64" s="1" customFormat="1" x14ac:dyDescent="0.3">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row>
    <row r="8" spans="1:64" s="1" customFormat="1" x14ac:dyDescent="0.3">
      <c r="A8" s="1" t="s">
        <v>251</v>
      </c>
      <c r="C8" s="55">
        <v>9067.76</v>
      </c>
      <c r="D8" s="55">
        <v>8806.2000000000007</v>
      </c>
      <c r="E8" s="55">
        <v>8587.8000000000011</v>
      </c>
      <c r="F8" s="55">
        <v>10452.52</v>
      </c>
      <c r="G8" s="51">
        <f>AVERAGE(C8:F8)</f>
        <v>9228.57</v>
      </c>
      <c r="H8" s="55">
        <v>9891.9600000000009</v>
      </c>
      <c r="I8" s="55">
        <v>9824</v>
      </c>
      <c r="J8" s="55">
        <v>9865</v>
      </c>
      <c r="K8" s="55">
        <v>13639</v>
      </c>
      <c r="L8" s="51">
        <f>AVERAGE(H8:K8)</f>
        <v>10804.99</v>
      </c>
      <c r="M8" s="55">
        <v>13563</v>
      </c>
      <c r="N8" s="55">
        <v>13380</v>
      </c>
      <c r="O8" s="55">
        <v>12838</v>
      </c>
      <c r="P8" s="55">
        <v>11928</v>
      </c>
      <c r="Q8" s="51">
        <f>AVERAGE(M8:P8)</f>
        <v>12927.25</v>
      </c>
      <c r="R8" s="55">
        <v>15086</v>
      </c>
      <c r="S8" s="55">
        <v>14941</v>
      </c>
      <c r="T8" s="55">
        <v>16398</v>
      </c>
      <c r="U8" s="55">
        <v>15028</v>
      </c>
      <c r="V8" s="51">
        <f>AVERAGE(R8:U8)</f>
        <v>15363.25</v>
      </c>
      <c r="W8" s="55">
        <v>15739</v>
      </c>
      <c r="X8" s="55">
        <v>14759</v>
      </c>
      <c r="Y8" s="55">
        <v>28006</v>
      </c>
      <c r="Z8" s="55">
        <v>32254</v>
      </c>
      <c r="AA8" s="51">
        <f>AVERAGE(W8:Z8)</f>
        <v>22689.5</v>
      </c>
      <c r="AB8" s="55">
        <v>33833</v>
      </c>
      <c r="AC8" s="55">
        <v>50825</v>
      </c>
      <c r="AD8" s="55">
        <v>56643</v>
      </c>
      <c r="AE8" s="55">
        <v>55345</v>
      </c>
      <c r="AF8" s="51">
        <f>AVERAGE(AB8:AE8)</f>
        <v>49161.5</v>
      </c>
    </row>
    <row r="9" spans="1:64" s="1" customFormat="1" x14ac:dyDescent="0.3">
      <c r="A9" s="1" t="s">
        <v>252</v>
      </c>
      <c r="C9" s="55">
        <v>0</v>
      </c>
      <c r="D9" s="55">
        <v>0</v>
      </c>
      <c r="E9" s="55">
        <v>0</v>
      </c>
      <c r="F9" s="55">
        <v>0</v>
      </c>
      <c r="G9" s="51">
        <f>AVERAGE(C9:F9)</f>
        <v>0</v>
      </c>
      <c r="H9" s="55">
        <v>0</v>
      </c>
      <c r="I9" s="55">
        <v>0</v>
      </c>
      <c r="J9" s="55">
        <v>0</v>
      </c>
      <c r="K9" s="55">
        <v>0</v>
      </c>
      <c r="L9" s="51">
        <f>AVERAGE(H9:K9)</f>
        <v>0</v>
      </c>
      <c r="M9" s="55">
        <v>0</v>
      </c>
      <c r="N9" s="55">
        <v>0</v>
      </c>
      <c r="O9" s="55">
        <v>0</v>
      </c>
      <c r="P9" s="55">
        <v>0</v>
      </c>
      <c r="Q9" s="51">
        <f>AVERAGE(M9:P9)</f>
        <v>0</v>
      </c>
      <c r="R9" s="55">
        <v>0</v>
      </c>
      <c r="S9" s="55">
        <v>0</v>
      </c>
      <c r="T9" s="55">
        <v>0</v>
      </c>
      <c r="U9" s="55">
        <v>0</v>
      </c>
      <c r="V9" s="51">
        <f>AVERAGE(R9:U9)</f>
        <v>0</v>
      </c>
      <c r="W9" s="55">
        <v>0</v>
      </c>
      <c r="X9" s="55">
        <v>0</v>
      </c>
      <c r="Y9" s="55">
        <v>0</v>
      </c>
      <c r="Z9" s="55">
        <v>0</v>
      </c>
      <c r="AA9" s="51">
        <f>AVERAGE(W9:Z9)</f>
        <v>0</v>
      </c>
      <c r="AB9" s="55">
        <v>14731</v>
      </c>
      <c r="AC9" s="55">
        <v>22651</v>
      </c>
      <c r="AD9" s="55">
        <v>27113</v>
      </c>
      <c r="AE9" s="55">
        <v>28412</v>
      </c>
      <c r="AF9" s="51">
        <f>AVERAGE(AB9:AE9)</f>
        <v>23226.75</v>
      </c>
    </row>
    <row r="10" spans="1:64" s="1" customFormat="1" x14ac:dyDescent="0.3">
      <c r="A10" s="1" t="s">
        <v>263</v>
      </c>
      <c r="C10" s="55">
        <v>6153</v>
      </c>
      <c r="D10" s="55">
        <v>8157</v>
      </c>
      <c r="E10" s="55">
        <v>10081</v>
      </c>
      <c r="F10" s="55">
        <v>10055</v>
      </c>
      <c r="G10" s="51">
        <f>AVERAGE(C10:F10)</f>
        <v>8611.5</v>
      </c>
      <c r="H10" s="55">
        <v>9567</v>
      </c>
      <c r="I10" s="55">
        <v>8523</v>
      </c>
      <c r="J10" s="55">
        <v>8070</v>
      </c>
      <c r="K10" s="55">
        <v>7478</v>
      </c>
      <c r="L10" s="51">
        <f>AVERAGE(H10:K10)</f>
        <v>8409.5</v>
      </c>
      <c r="M10" s="55">
        <v>8620</v>
      </c>
      <c r="N10" s="55">
        <v>9446</v>
      </c>
      <c r="O10" s="55">
        <v>14752</v>
      </c>
      <c r="P10" s="55">
        <v>15777</v>
      </c>
      <c r="Q10" s="51">
        <f>AVERAGE(M10:P10)</f>
        <v>12148.75</v>
      </c>
      <c r="R10" s="55">
        <v>14147</v>
      </c>
      <c r="S10" s="55">
        <v>14093</v>
      </c>
      <c r="T10" s="55">
        <v>13356</v>
      </c>
      <c r="U10" s="55">
        <v>15347</v>
      </c>
      <c r="V10" s="51">
        <f>AVERAGE(R10:U10)</f>
        <v>14235.75</v>
      </c>
      <c r="W10" s="55">
        <v>17537</v>
      </c>
      <c r="X10" s="55">
        <v>16762</v>
      </c>
      <c r="Y10" s="55">
        <v>16302</v>
      </c>
      <c r="Z10" s="55">
        <v>14634</v>
      </c>
      <c r="AA10" s="51">
        <f>AVERAGE(W10:Z10)</f>
        <v>16308.75</v>
      </c>
      <c r="AB10" s="55">
        <v>12475</v>
      </c>
      <c r="AC10" s="55">
        <v>17617</v>
      </c>
      <c r="AD10" s="55">
        <v>16154</v>
      </c>
      <c r="AE10" s="55">
        <v>16552</v>
      </c>
      <c r="AF10" s="51">
        <f>AVERAGE(AB10:AE10)</f>
        <v>15699.5</v>
      </c>
    </row>
    <row r="11" spans="1:64" s="1" customFormat="1" x14ac:dyDescent="0.3">
      <c r="A11" s="1" t="s">
        <v>264</v>
      </c>
      <c r="C11" s="55">
        <v>2921</v>
      </c>
      <c r="D11" s="55">
        <v>3060</v>
      </c>
      <c r="E11" s="55">
        <v>3291</v>
      </c>
      <c r="F11" s="55">
        <v>3025</v>
      </c>
      <c r="G11" s="51">
        <f>AVERAGE(C11:F11)</f>
        <v>3074.25</v>
      </c>
      <c r="H11" s="55">
        <v>2033</v>
      </c>
      <c r="I11" s="55">
        <v>1776</v>
      </c>
      <c r="J11" s="55">
        <v>2413</v>
      </c>
      <c r="K11" s="55">
        <v>2859</v>
      </c>
      <c r="L11" s="51">
        <f>AVERAGE(H11:K11)</f>
        <v>2270.25</v>
      </c>
      <c r="M11" s="55">
        <v>1254</v>
      </c>
      <c r="N11" s="55">
        <v>707</v>
      </c>
      <c r="O11" s="55">
        <v>1740</v>
      </c>
      <c r="P11" s="55">
        <v>2285</v>
      </c>
      <c r="Q11" s="51">
        <f>AVERAGE(M11:P11)</f>
        <v>1496.5</v>
      </c>
      <c r="R11" s="55">
        <v>2084</v>
      </c>
      <c r="S11" s="55">
        <v>2191</v>
      </c>
      <c r="T11" s="55">
        <v>1858</v>
      </c>
      <c r="U11" s="55">
        <v>1924</v>
      </c>
      <c r="V11" s="51">
        <f>AVERAGE(R11:U11)</f>
        <v>2014.25</v>
      </c>
      <c r="W11" s="55">
        <v>1913</v>
      </c>
      <c r="X11" s="55">
        <v>1783</v>
      </c>
      <c r="Y11" s="55">
        <v>1458</v>
      </c>
      <c r="Z11" s="55">
        <v>733</v>
      </c>
      <c r="AA11" s="51">
        <f>AVERAGE(W11:Z11)</f>
        <v>1471.75</v>
      </c>
      <c r="AB11" s="55">
        <v>0</v>
      </c>
      <c r="AC11" s="55">
        <v>0</v>
      </c>
      <c r="AD11" s="55">
        <v>0</v>
      </c>
      <c r="AE11" s="63"/>
      <c r="AF11" s="51">
        <f>AVERAGE(AB11:AE11)</f>
        <v>0</v>
      </c>
    </row>
    <row r="12" spans="1:64" s="1" customFormat="1" x14ac:dyDescent="0.3">
      <c r="A12" s="1" t="s">
        <v>265</v>
      </c>
      <c r="C12" s="48">
        <f>SUM(C$8:C$11)</f>
        <v>18141.760000000002</v>
      </c>
      <c r="D12" s="48">
        <f>SUM(D$8:D$11)</f>
        <v>20023.2</v>
      </c>
      <c r="E12" s="48">
        <f>SUM(E$8:E$11)</f>
        <v>21959.800000000003</v>
      </c>
      <c r="F12" s="48">
        <f>SUM(F$8:F$11)</f>
        <v>23532.52</v>
      </c>
      <c r="G12" s="48">
        <f>AVERAGE(C12:F12)</f>
        <v>20914.320000000003</v>
      </c>
      <c r="H12" s="48">
        <f>SUM(H$8:H$11)</f>
        <v>21491.96</v>
      </c>
      <c r="I12" s="48">
        <f>SUM(I$8:I$11)</f>
        <v>20123</v>
      </c>
      <c r="J12" s="48">
        <f>SUM(J$8:J$11)</f>
        <v>20348</v>
      </c>
      <c r="K12" s="48">
        <f>SUM(K$8:K$11)</f>
        <v>23976</v>
      </c>
      <c r="L12" s="48">
        <f>AVERAGE(H12:K12)</f>
        <v>21484.739999999998</v>
      </c>
      <c r="M12" s="48">
        <f>SUM(M$8:M$11)</f>
        <v>23437</v>
      </c>
      <c r="N12" s="48">
        <f>SUM(N$8:N$11)</f>
        <v>23533</v>
      </c>
      <c r="O12" s="48">
        <f>SUM(O$8:O$11)</f>
        <v>29330</v>
      </c>
      <c r="P12" s="48">
        <f>SUM(P$8:P$11)</f>
        <v>29990</v>
      </c>
      <c r="Q12" s="48">
        <f>AVERAGE(M12:P12)</f>
        <v>26572.5</v>
      </c>
      <c r="R12" s="48">
        <f>SUM(R$8:R$11)</f>
        <v>31317</v>
      </c>
      <c r="S12" s="48">
        <f>SUM(S$8:S$11)</f>
        <v>31225</v>
      </c>
      <c r="T12" s="48">
        <f>SUM(T$8:T$11)</f>
        <v>31612</v>
      </c>
      <c r="U12" s="48">
        <f>SUM(U$8:U$11)</f>
        <v>32299</v>
      </c>
      <c r="V12" s="48">
        <f>AVERAGE(R12:U12)</f>
        <v>31613.25</v>
      </c>
      <c r="W12" s="48">
        <f>SUM(W$8:W$11)</f>
        <v>35189</v>
      </c>
      <c r="X12" s="48">
        <f>SUM(X$8:X$11)</f>
        <v>33304</v>
      </c>
      <c r="Y12" s="48">
        <f>SUM(Y$8:Y$11)</f>
        <v>45766</v>
      </c>
      <c r="Z12" s="48">
        <f>SUM(Z$8:Z$11)</f>
        <v>47621</v>
      </c>
      <c r="AA12" s="48">
        <f>AVERAGE(W12:Z12)</f>
        <v>40470</v>
      </c>
      <c r="AB12" s="48">
        <f>SUM(AB$8:AB$11)</f>
        <v>61039</v>
      </c>
      <c r="AC12" s="48">
        <f>SUM(AC$8:AC$11)</f>
        <v>91093</v>
      </c>
      <c r="AD12" s="48">
        <f>SUM(AD$8:AD$11)</f>
        <v>99910</v>
      </c>
      <c r="AE12" s="48">
        <f>SUM(AE$8:AE$11)</f>
        <v>100309</v>
      </c>
      <c r="AF12" s="48">
        <f>AVERAGE(AB12:AE12)</f>
        <v>88087.75</v>
      </c>
    </row>
    <row r="13" spans="1:64" s="1" customFormat="1" x14ac:dyDescent="0.3">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row>
    <row r="14" spans="1:64" s="1" customFormat="1" x14ac:dyDescent="0.3">
      <c r="A14" s="1" t="s">
        <v>253</v>
      </c>
      <c r="C14" s="60">
        <v>63.83</v>
      </c>
      <c r="D14" s="60">
        <v>68.599999999999994</v>
      </c>
      <c r="E14" s="60">
        <v>75.84</v>
      </c>
      <c r="F14" s="60">
        <v>74.97</v>
      </c>
      <c r="G14" s="61">
        <f>AVERAGE(C14:F14)</f>
        <v>70.81</v>
      </c>
      <c r="H14" s="60">
        <v>63.83</v>
      </c>
      <c r="I14" s="60">
        <v>68.47</v>
      </c>
      <c r="J14" s="60">
        <v>62.03</v>
      </c>
      <c r="K14" s="60">
        <v>62.42</v>
      </c>
      <c r="L14" s="61">
        <f>AVERAGE(H14:K14)</f>
        <v>64.1875</v>
      </c>
      <c r="M14" s="60">
        <v>50.44</v>
      </c>
      <c r="N14" s="60">
        <v>33.39</v>
      </c>
      <c r="O14" s="60">
        <v>43.34</v>
      </c>
      <c r="P14" s="60">
        <v>45.26</v>
      </c>
      <c r="Q14" s="61">
        <f>AVERAGE(M14:P14)</f>
        <v>43.107500000000002</v>
      </c>
      <c r="R14" s="60">
        <v>61.32</v>
      </c>
      <c r="S14" s="60">
        <v>69.08</v>
      </c>
      <c r="T14" s="60">
        <v>73.23</v>
      </c>
      <c r="U14" s="60">
        <v>79.66</v>
      </c>
      <c r="V14" s="61">
        <f>AVERAGE(R14:U14)</f>
        <v>70.822499999999991</v>
      </c>
      <c r="W14" s="60">
        <v>97.9</v>
      </c>
      <c r="X14" s="60">
        <v>111.7</v>
      </c>
      <c r="Y14" s="60">
        <v>97.7</v>
      </c>
      <c r="Z14" s="60">
        <v>88.63</v>
      </c>
      <c r="AA14" s="61">
        <f>AVERAGE(W14:Z14)</f>
        <v>98.982500000000002</v>
      </c>
      <c r="AB14" s="60">
        <v>82.16</v>
      </c>
      <c r="AC14" s="60">
        <v>77.73</v>
      </c>
      <c r="AD14" s="60">
        <v>85.92</v>
      </c>
      <c r="AE14" s="60">
        <v>82.86</v>
      </c>
      <c r="AF14" s="61">
        <f>AVERAGE(AB14:AE14)</f>
        <v>82.167500000000004</v>
      </c>
    </row>
    <row r="15" spans="1:64" s="1" customFormat="1" x14ac:dyDescent="0.3">
      <c r="A15" s="1" t="s">
        <v>254</v>
      </c>
      <c r="C15" s="53"/>
      <c r="D15" s="53"/>
      <c r="E15" s="53"/>
      <c r="F15" s="53"/>
      <c r="G15" s="61">
        <f>SUMPRODUCT(C15:F15,C24:F24)/SUM(C24:F24)</f>
        <v>0</v>
      </c>
      <c r="H15" s="60">
        <v>64.400000000000006</v>
      </c>
      <c r="I15" s="60">
        <v>68.61</v>
      </c>
      <c r="J15" s="60">
        <v>62.31</v>
      </c>
      <c r="K15" s="60">
        <v>62.88</v>
      </c>
      <c r="L15" s="61">
        <f>SUMPRODUCT(H15:K15,H24:K24)/SUM(H24:K24)</f>
        <v>64.636710448833995</v>
      </c>
      <c r="M15" s="60">
        <v>31.79</v>
      </c>
      <c r="N15" s="60">
        <v>35.090000000000003</v>
      </c>
      <c r="O15" s="60">
        <v>42.71</v>
      </c>
      <c r="P15" s="60">
        <v>46.26</v>
      </c>
      <c r="Q15" s="61">
        <f>SUMPRODUCT(M15:P15,M24:P24)/SUM(M24:P24)</f>
        <v>41.230148238965675</v>
      </c>
      <c r="R15" s="60">
        <v>62.19</v>
      </c>
      <c r="S15" s="60">
        <v>66.849999999999994</v>
      </c>
      <c r="T15" s="60">
        <v>74.41</v>
      </c>
      <c r="U15" s="60">
        <v>83.19</v>
      </c>
      <c r="V15" s="61">
        <f>SUMPRODUCT(R15:U15,R24:U24)/SUM(R24:U24)</f>
        <v>73.380131816540271</v>
      </c>
      <c r="W15" s="60">
        <v>110.28</v>
      </c>
      <c r="X15" s="60">
        <v>108.37</v>
      </c>
      <c r="Y15" s="60">
        <v>94.36</v>
      </c>
      <c r="Z15" s="60">
        <v>85.32</v>
      </c>
      <c r="AA15" s="61">
        <f>SUMPRODUCT(W15:Z15,W24:Z24)/SUM(W24:Z24)</f>
        <v>100.11554822954822</v>
      </c>
      <c r="AB15" s="60">
        <v>82.93</v>
      </c>
      <c r="AC15" s="60">
        <v>77.67</v>
      </c>
      <c r="AD15" s="60">
        <v>86.48</v>
      </c>
      <c r="AE15" s="60">
        <v>77.39</v>
      </c>
      <c r="AF15" s="61">
        <f>SUMPRODUCT(AB15:AE15,AB24:AE24)/SUM(AB24:AE24)</f>
        <v>81.419905715426438</v>
      </c>
    </row>
    <row r="16" spans="1:64" s="1" customFormat="1" x14ac:dyDescent="0.3">
      <c r="A16" s="1" t="s">
        <v>277</v>
      </c>
      <c r="C16" s="60">
        <v>3.24</v>
      </c>
      <c r="D16" s="60">
        <v>3.61</v>
      </c>
      <c r="E16" s="60">
        <v>3.95</v>
      </c>
      <c r="F16" s="60">
        <v>3.81</v>
      </c>
      <c r="G16" s="61">
        <f>AVERAGE(C16:F16)</f>
        <v>3.6525000000000003</v>
      </c>
      <c r="H16" s="60">
        <v>3.77</v>
      </c>
      <c r="I16" s="60">
        <v>3.92</v>
      </c>
      <c r="J16" s="60">
        <v>3.97</v>
      </c>
      <c r="K16" s="60">
        <v>4.12</v>
      </c>
      <c r="L16" s="61">
        <f>AVERAGE(H16:K16)</f>
        <v>3.9450000000000003</v>
      </c>
      <c r="M16" s="60">
        <v>4.47</v>
      </c>
      <c r="N16" s="60">
        <v>5.39</v>
      </c>
      <c r="O16" s="60">
        <v>5.38</v>
      </c>
      <c r="P16" s="60">
        <v>5.4</v>
      </c>
      <c r="Q16" s="61">
        <f>AVERAGE(M16:P16)</f>
        <v>5.16</v>
      </c>
      <c r="R16" s="60">
        <v>5.48</v>
      </c>
      <c r="S16" s="60">
        <v>5.29</v>
      </c>
      <c r="T16" s="60">
        <v>5.23</v>
      </c>
      <c r="U16" s="60">
        <v>5.59</v>
      </c>
      <c r="V16" s="61">
        <f>AVERAGE(R16:U16)</f>
        <v>5.3975</v>
      </c>
      <c r="W16" s="60">
        <v>5</v>
      </c>
      <c r="X16" s="60">
        <v>5.1100000000000003</v>
      </c>
      <c r="Y16" s="60">
        <v>5.25</v>
      </c>
      <c r="Z16" s="60">
        <v>5.26</v>
      </c>
      <c r="AA16" s="61">
        <f>AVERAGE(W16:Z16)</f>
        <v>5.1549999999999994</v>
      </c>
      <c r="AB16" s="60">
        <v>5.19</v>
      </c>
      <c r="AC16" s="60">
        <v>4.9400000000000004</v>
      </c>
      <c r="AD16" s="60">
        <v>4.88</v>
      </c>
      <c r="AE16" s="60">
        <v>4.96</v>
      </c>
      <c r="AF16" s="61">
        <f>AVERAGE(AB16:AE16)</f>
        <v>4.9925000000000006</v>
      </c>
    </row>
    <row r="17" spans="1:32" s="1" customFormat="1" x14ac:dyDescent="0.3">
      <c r="A17" s="1" t="s">
        <v>255</v>
      </c>
      <c r="C17" s="60">
        <v>3.32</v>
      </c>
      <c r="D17" s="60">
        <v>3.86</v>
      </c>
      <c r="E17" s="60">
        <v>4</v>
      </c>
      <c r="F17" s="60">
        <v>3.87</v>
      </c>
      <c r="G17" s="61">
        <f>AVERAGE(C17:F17)</f>
        <v>3.7625000000000002</v>
      </c>
      <c r="H17" s="60">
        <v>3.9</v>
      </c>
      <c r="I17" s="60">
        <v>3.85</v>
      </c>
      <c r="J17" s="60">
        <v>4.16</v>
      </c>
      <c r="K17" s="60">
        <v>4.0199999999999996</v>
      </c>
      <c r="L17" s="61">
        <f>AVERAGE(H17:K17)</f>
        <v>3.9824999999999999</v>
      </c>
      <c r="M17" s="60">
        <v>5.2</v>
      </c>
      <c r="N17" s="60">
        <v>5.47</v>
      </c>
      <c r="O17" s="60">
        <v>5.61</v>
      </c>
      <c r="P17" s="60">
        <v>5.19</v>
      </c>
      <c r="Q17" s="61">
        <f>AVERAGE(M17:P17)</f>
        <v>5.3675000000000006</v>
      </c>
      <c r="R17" s="60">
        <v>5.7</v>
      </c>
      <c r="S17" s="60">
        <v>5</v>
      </c>
      <c r="T17" s="60">
        <v>5.44</v>
      </c>
      <c r="U17" s="60">
        <v>5.58</v>
      </c>
      <c r="V17" s="61">
        <f>AVERAGE(R17:U17)</f>
        <v>5.43</v>
      </c>
      <c r="W17" s="60">
        <v>4.74</v>
      </c>
      <c r="X17" s="60">
        <v>5.35</v>
      </c>
      <c r="Y17" s="60">
        <v>5.41</v>
      </c>
      <c r="Z17" s="60">
        <v>5.29</v>
      </c>
      <c r="AA17" s="61">
        <f>AVERAGE(W17:Z17)</f>
        <v>5.1974999999999998</v>
      </c>
      <c r="AB17" s="60">
        <v>5.0599999999999996</v>
      </c>
      <c r="AC17" s="60">
        <v>4.79</v>
      </c>
      <c r="AD17" s="60">
        <v>5.03</v>
      </c>
      <c r="AE17" s="60">
        <v>4.8499999999999996</v>
      </c>
      <c r="AF17" s="61">
        <f>AVERAGE(AB17:AE17)</f>
        <v>4.9324999999999992</v>
      </c>
    </row>
    <row r="18" spans="1:32" s="1" customFormat="1" x14ac:dyDescent="0.3">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row>
    <row r="19" spans="1:32" s="1" customFormat="1" x14ac:dyDescent="0.3">
      <c r="A19" s="1" t="s">
        <v>257</v>
      </c>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row>
    <row r="20" spans="1:32" s="1" customFormat="1" x14ac:dyDescent="0.3">
      <c r="A20" s="1" t="s">
        <v>256</v>
      </c>
      <c r="C20" s="55">
        <v>1989</v>
      </c>
      <c r="D20" s="55">
        <v>983</v>
      </c>
      <c r="E20" s="55">
        <v>1990</v>
      </c>
      <c r="F20" s="55">
        <v>1975</v>
      </c>
      <c r="G20" s="51">
        <f>SUM(C20:F20)</f>
        <v>6937</v>
      </c>
      <c r="H20" s="55">
        <v>975.471</v>
      </c>
      <c r="I20" s="55">
        <v>975</v>
      </c>
      <c r="J20" s="55">
        <v>995</v>
      </c>
      <c r="K20" s="55">
        <v>1398</v>
      </c>
      <c r="L20" s="51">
        <f>SUM(H20:K20)</f>
        <v>4343.4709999999995</v>
      </c>
      <c r="M20" s="55">
        <v>982</v>
      </c>
      <c r="N20" s="55">
        <v>950</v>
      </c>
      <c r="O20" s="55">
        <v>993</v>
      </c>
      <c r="P20" s="55">
        <v>1943</v>
      </c>
      <c r="Q20" s="51">
        <f>SUM(M20:P20)</f>
        <v>4868</v>
      </c>
      <c r="R20" s="55">
        <v>1021</v>
      </c>
      <c r="S20" s="55">
        <v>1530</v>
      </c>
      <c r="T20" s="55">
        <v>986</v>
      </c>
      <c r="U20" s="55">
        <v>2000</v>
      </c>
      <c r="V20" s="51">
        <f>SUM(R20:U20)</f>
        <v>5537</v>
      </c>
      <c r="W20" s="55">
        <v>1649</v>
      </c>
      <c r="X20" s="55">
        <v>1503</v>
      </c>
      <c r="Y20" s="55">
        <v>2252</v>
      </c>
      <c r="Z20" s="55">
        <v>1495</v>
      </c>
      <c r="AA20" s="51">
        <f>SUM(W20:Z20)</f>
        <v>6899</v>
      </c>
      <c r="AB20" s="55">
        <v>4334</v>
      </c>
      <c r="AC20" s="55">
        <v>4126</v>
      </c>
      <c r="AD20" s="55">
        <v>5278</v>
      </c>
      <c r="AE20" s="55">
        <v>4672</v>
      </c>
      <c r="AF20" s="51">
        <f>SUM(AB20:AE20)</f>
        <v>18410</v>
      </c>
    </row>
    <row r="21" spans="1:32" s="1" customFormat="1" x14ac:dyDescent="0.3">
      <c r="A21" s="1" t="s">
        <v>259</v>
      </c>
      <c r="C21" s="55">
        <v>0</v>
      </c>
      <c r="D21" s="55">
        <v>0</v>
      </c>
      <c r="E21" s="55">
        <v>0</v>
      </c>
      <c r="F21" s="55">
        <v>0</v>
      </c>
      <c r="G21" s="51">
        <f>SUM(C21:F21)</f>
        <v>0</v>
      </c>
      <c r="H21" s="55">
        <v>0</v>
      </c>
      <c r="I21" s="55">
        <v>0</v>
      </c>
      <c r="J21" s="55">
        <v>0</v>
      </c>
      <c r="K21" s="55">
        <v>0</v>
      </c>
      <c r="L21" s="51">
        <f>SUM(H21:K21)</f>
        <v>0</v>
      </c>
      <c r="M21" s="55">
        <v>0</v>
      </c>
      <c r="N21" s="55">
        <v>0</v>
      </c>
      <c r="O21" s="55">
        <v>0</v>
      </c>
      <c r="P21" s="55">
        <v>0</v>
      </c>
      <c r="Q21" s="51">
        <f>SUM(M21:P21)</f>
        <v>0</v>
      </c>
      <c r="R21" s="55">
        <v>0</v>
      </c>
      <c r="S21" s="55">
        <v>0</v>
      </c>
      <c r="T21" s="55">
        <v>0</v>
      </c>
      <c r="U21" s="55">
        <v>0</v>
      </c>
      <c r="V21" s="51">
        <f>SUM(R21:U21)</f>
        <v>0</v>
      </c>
      <c r="W21" s="55">
        <v>0</v>
      </c>
      <c r="X21" s="55">
        <v>0</v>
      </c>
      <c r="Y21" s="55">
        <v>0</v>
      </c>
      <c r="Z21" s="55">
        <v>0</v>
      </c>
      <c r="AA21" s="51">
        <f>SUM(W21:Z21)</f>
        <v>0</v>
      </c>
      <c r="AB21" s="55">
        <v>1409</v>
      </c>
      <c r="AC21" s="55">
        <v>1428</v>
      </c>
      <c r="AD21" s="55">
        <v>3028</v>
      </c>
      <c r="AE21" s="55">
        <v>1828</v>
      </c>
      <c r="AF21" s="51">
        <f>SUM(AB21:AE21)</f>
        <v>7693</v>
      </c>
    </row>
    <row r="22" spans="1:32" s="1" customFormat="1" x14ac:dyDescent="0.3">
      <c r="A22" s="1" t="s">
        <v>260</v>
      </c>
      <c r="C22" s="55">
        <v>463</v>
      </c>
      <c r="D22" s="55">
        <v>791</v>
      </c>
      <c r="E22" s="55">
        <v>693</v>
      </c>
      <c r="F22" s="55">
        <v>1107</v>
      </c>
      <c r="G22" s="51">
        <f>SUM(C22:F22)</f>
        <v>3054</v>
      </c>
      <c r="H22" s="55">
        <v>545</v>
      </c>
      <c r="I22" s="55">
        <v>1025</v>
      </c>
      <c r="J22" s="55">
        <v>508</v>
      </c>
      <c r="K22" s="55">
        <v>930</v>
      </c>
      <c r="L22" s="51">
        <f>SUM(H22:K22)</f>
        <v>3008</v>
      </c>
      <c r="M22" s="55">
        <v>470</v>
      </c>
      <c r="N22" s="55">
        <v>447</v>
      </c>
      <c r="O22" s="55">
        <v>1405</v>
      </c>
      <c r="P22" s="55">
        <v>1782</v>
      </c>
      <c r="Q22" s="51">
        <f>SUM(M22:P22)</f>
        <v>4104</v>
      </c>
      <c r="R22" s="55">
        <v>907</v>
      </c>
      <c r="S22" s="55">
        <v>1307</v>
      </c>
      <c r="T22" s="55">
        <v>1498</v>
      </c>
      <c r="U22" s="55">
        <v>1827</v>
      </c>
      <c r="V22" s="51">
        <f>SUM(R22:U22)</f>
        <v>5539</v>
      </c>
      <c r="W22" s="55">
        <v>1149</v>
      </c>
      <c r="X22" s="55">
        <v>1844</v>
      </c>
      <c r="Y22" s="55">
        <v>1595</v>
      </c>
      <c r="Z22" s="55">
        <v>798</v>
      </c>
      <c r="AA22" s="51">
        <f>SUM(W22:Z22)</f>
        <v>5386</v>
      </c>
      <c r="AB22" s="55">
        <v>1547</v>
      </c>
      <c r="AC22" s="55">
        <v>1602</v>
      </c>
      <c r="AD22" s="55">
        <v>1466</v>
      </c>
      <c r="AE22" s="55">
        <v>1843</v>
      </c>
      <c r="AF22" s="51">
        <f>SUM(AB22:AE22)</f>
        <v>6458</v>
      </c>
    </row>
    <row r="23" spans="1:32" s="1" customFormat="1" x14ac:dyDescent="0.3">
      <c r="A23" s="1" t="s">
        <v>258</v>
      </c>
      <c r="C23" s="55">
        <v>0</v>
      </c>
      <c r="D23" s="55">
        <v>0</v>
      </c>
      <c r="E23" s="55">
        <v>0</v>
      </c>
      <c r="F23" s="55">
        <v>0</v>
      </c>
      <c r="G23" s="51">
        <f>SUM(C23:F23)</f>
        <v>0</v>
      </c>
      <c r="H23" s="55">
        <v>0</v>
      </c>
      <c r="I23" s="55">
        <v>0</v>
      </c>
      <c r="J23" s="55">
        <v>0</v>
      </c>
      <c r="K23" s="55">
        <v>0</v>
      </c>
      <c r="L23" s="51">
        <f>SUM(H23:K23)</f>
        <v>0</v>
      </c>
      <c r="M23" s="55">
        <v>0</v>
      </c>
      <c r="N23" s="55">
        <v>0</v>
      </c>
      <c r="O23" s="55">
        <v>0</v>
      </c>
      <c r="P23" s="55">
        <v>0</v>
      </c>
      <c r="Q23" s="51">
        <f>SUM(M23:P23)</f>
        <v>0</v>
      </c>
      <c r="R23" s="55">
        <v>0</v>
      </c>
      <c r="S23" s="55">
        <v>0</v>
      </c>
      <c r="T23" s="55">
        <v>0</v>
      </c>
      <c r="U23" s="55">
        <v>0</v>
      </c>
      <c r="V23" s="51">
        <f>SUM(R23:U23)</f>
        <v>0</v>
      </c>
      <c r="W23" s="55">
        <v>0</v>
      </c>
      <c r="X23" s="55">
        <v>0</v>
      </c>
      <c r="Y23" s="55">
        <v>0</v>
      </c>
      <c r="Z23" s="55">
        <v>0</v>
      </c>
      <c r="AA23" s="51">
        <f>SUM(W23:Z23)</f>
        <v>0</v>
      </c>
      <c r="AB23" s="55">
        <v>0</v>
      </c>
      <c r="AC23" s="55">
        <v>0</v>
      </c>
      <c r="AD23" s="55">
        <v>0</v>
      </c>
      <c r="AE23" s="63"/>
      <c r="AF23" s="51">
        <f>SUM(AB23:AE23)</f>
        <v>0</v>
      </c>
    </row>
    <row r="24" spans="1:32" s="1" customFormat="1" x14ac:dyDescent="0.3">
      <c r="A24" s="38" t="s">
        <v>261</v>
      </c>
      <c r="C24" s="48">
        <f>C23+C22+C21+C20</f>
        <v>2452</v>
      </c>
      <c r="D24" s="48">
        <f>D23+D22+D21+D20</f>
        <v>1774</v>
      </c>
      <c r="E24" s="48">
        <f>E23+E22+E21+E20</f>
        <v>2683</v>
      </c>
      <c r="F24" s="48">
        <f>F23+F22+F21+F20</f>
        <v>3082</v>
      </c>
      <c r="G24" s="48">
        <f>SUM(C24:F24)</f>
        <v>9991</v>
      </c>
      <c r="H24" s="48">
        <f>H23+H22+H21+H20</f>
        <v>1520.471</v>
      </c>
      <c r="I24" s="48">
        <f>I23+I22+I21+I20</f>
        <v>2000</v>
      </c>
      <c r="J24" s="48">
        <f>J23+J22+J21+J20</f>
        <v>1503</v>
      </c>
      <c r="K24" s="48">
        <f>K23+K22+K21+K20</f>
        <v>2328</v>
      </c>
      <c r="L24" s="48">
        <f>SUM(H24:K24)</f>
        <v>7351.4709999999995</v>
      </c>
      <c r="M24" s="48">
        <f>M23+M22+M21+M20</f>
        <v>1452</v>
      </c>
      <c r="N24" s="48">
        <f>N23+N22+N21+N20</f>
        <v>1397</v>
      </c>
      <c r="O24" s="48">
        <f>O23+O22+O21+O20</f>
        <v>2398</v>
      </c>
      <c r="P24" s="48">
        <f>P23+P22+P21+P20</f>
        <v>3725</v>
      </c>
      <c r="Q24" s="48">
        <f>SUM(M24:P24)</f>
        <v>8972</v>
      </c>
      <c r="R24" s="48">
        <f>R23+R22+R21+R20</f>
        <v>1928</v>
      </c>
      <c r="S24" s="48">
        <f>S23+S22+S21+S20</f>
        <v>2837</v>
      </c>
      <c r="T24" s="48">
        <f>T23+T22+T21+T20</f>
        <v>2484</v>
      </c>
      <c r="U24" s="48">
        <f>U23+U22+U21+U20</f>
        <v>3827</v>
      </c>
      <c r="V24" s="48">
        <f>SUM(R24:U24)</f>
        <v>11076</v>
      </c>
      <c r="W24" s="48">
        <f>W23+W22+W21+W20</f>
        <v>2798</v>
      </c>
      <c r="X24" s="48">
        <f>X23+X22+X21+X20</f>
        <v>3347</v>
      </c>
      <c r="Y24" s="48">
        <f>Y23+Y22+Y21+Y20</f>
        <v>3847</v>
      </c>
      <c r="Z24" s="48">
        <f>Z23+Z22+Z21+Z20</f>
        <v>2293</v>
      </c>
      <c r="AA24" s="48">
        <f>SUM(W24:Z24)</f>
        <v>12285</v>
      </c>
      <c r="AB24" s="48">
        <f>AB23+AB22+AB21+AB20</f>
        <v>7290</v>
      </c>
      <c r="AC24" s="48">
        <f>AC23+AC22+AC21+AC20</f>
        <v>7156</v>
      </c>
      <c r="AD24" s="48">
        <f>AD23+AD22+AD21+AD20</f>
        <v>9772</v>
      </c>
      <c r="AE24" s="48">
        <f>AE23+AE22+AE21+AE20</f>
        <v>8343</v>
      </c>
      <c r="AF24" s="48">
        <f>SUM(AB24:AE24)</f>
        <v>32561</v>
      </c>
    </row>
    <row r="25" spans="1:32" s="1" customFormat="1" x14ac:dyDescent="0.3">
      <c r="A25" s="42" t="s">
        <v>267</v>
      </c>
      <c r="C25" s="69">
        <f>C24/(C12*'Fluxo de Caixa dos Acionistas'!C5/1000)</f>
        <v>1.5017531068895433</v>
      </c>
      <c r="D25" s="69">
        <f>D24/(D12*'Fluxo de Caixa dos Acionistas'!D5/1000)</f>
        <v>0.97359590347724112</v>
      </c>
      <c r="E25" s="69">
        <f>E24/(E12*'Fluxo de Caixa dos Acionistas'!E5/1000)</f>
        <v>1.3280195392608707</v>
      </c>
      <c r="F25" s="69">
        <f>F24/(F12*'Fluxo de Caixa dos Acionistas'!F5/1000)</f>
        <v>1.4235619474667398</v>
      </c>
      <c r="G25" s="69">
        <f>G24/(G12*'Fluxo de Caixa dos Acionistas'!G5/1000)</f>
        <v>1.3087971657565736</v>
      </c>
      <c r="H25" s="69">
        <f>H24/(H12*'Fluxo de Caixa dos Acionistas'!H5/1000)</f>
        <v>0.78606707914132645</v>
      </c>
      <c r="I25" s="69">
        <f>I24/(I12*'Fluxo de Caixa dos Acionistas'!I5/1000)</f>
        <v>1.0921841662784861</v>
      </c>
      <c r="J25" s="69">
        <f>J24/(J12*'Fluxo de Caixa dos Acionistas'!J5/1000)</f>
        <v>0.80287775318159671</v>
      </c>
      <c r="K25" s="69">
        <f>K24/(K12*'Fluxo de Caixa dos Acionistas'!K5/1000)</f>
        <v>1.0554032293162727</v>
      </c>
      <c r="L25" s="69">
        <f>L24/(L12*'Fluxo de Caixa dos Acionistas'!L5/1000)</f>
        <v>0.93745683859130546</v>
      </c>
      <c r="M25" s="69">
        <f>M24/(M12*'Fluxo de Caixa dos Acionistas'!M5/1000)</f>
        <v>0.68080573264683863</v>
      </c>
      <c r="N25" s="69">
        <f>N24/(N12*'Fluxo de Caixa dos Acionistas'!N5/1000)</f>
        <v>0.65234557224528744</v>
      </c>
      <c r="O25" s="69">
        <f>O24/(O12*'Fluxo de Caixa dos Acionistas'!O5/1000)</f>
        <v>0.88868794378807869</v>
      </c>
      <c r="P25" s="69">
        <f>P24/(P12*'Fluxo de Caixa dos Acionistas'!P5/1000)</f>
        <v>1.350087710396219</v>
      </c>
      <c r="Q25" s="69">
        <f>Q24/(Q12*'Fluxo de Caixa dos Acionistas'!Q5/1000)</f>
        <v>0.922519943632921</v>
      </c>
      <c r="R25" s="69">
        <f>R24/(R12*'Fluxo de Caixa dos Acionistas'!R5/1000)</f>
        <v>0.68404451966095792</v>
      </c>
      <c r="S25" s="69">
        <f>S24/(S12*'Fluxo de Caixa dos Acionistas'!S5/1000)</f>
        <v>0.99842511371734755</v>
      </c>
      <c r="T25" s="69">
        <f>T24/(T12*'Fluxo de Caixa dos Acionistas'!T5/1000)</f>
        <v>0.85410603568265209</v>
      </c>
      <c r="U25" s="69">
        <f>U24/(U12*'Fluxo de Caixa dos Acionistas'!U5/1000)</f>
        <v>1.2878982657963567</v>
      </c>
      <c r="V25" s="69">
        <f>V24/(V12*'Fluxo de Caixa dos Acionistas'!V5/1000)</f>
        <v>0.95988882761032335</v>
      </c>
      <c r="W25" s="69">
        <f>W24/(W12*'Fluxo de Caixa dos Acionistas'!W5/1000)</f>
        <v>0.88348315919431886</v>
      </c>
      <c r="X25" s="69">
        <f>X24/(X12*'Fluxo de Caixa dos Acionistas'!X5/1000)</f>
        <v>1.1043784464394601</v>
      </c>
      <c r="Y25" s="69">
        <f>Y24/(Y12*'Fluxo de Caixa dos Acionistas'!Y5/1000)</f>
        <v>0.91367428639829462</v>
      </c>
      <c r="Z25" s="69">
        <f>Z24/(Z12*'Fluxo de Caixa dos Acionistas'!Z5/1000)</f>
        <v>0.5233807153037161</v>
      </c>
      <c r="AA25" s="69">
        <f>AA24/(AA12*'Fluxo de Caixa dos Acionistas'!AA5/1000)</f>
        <v>0.83166627740487631</v>
      </c>
      <c r="AB25" s="69">
        <f>AB24/(AB12*'Fluxo de Caixa dos Acionistas'!AB5/1000)</f>
        <v>1.3270204295614279</v>
      </c>
      <c r="AC25" s="69">
        <f>AC24/(AC12*'Fluxo de Caixa dos Acionistas'!AC5/1000)</f>
        <v>0.86326460471564925</v>
      </c>
      <c r="AD25" s="69">
        <f>AD24/(AD12*'Fluxo de Caixa dos Acionistas'!AD5/1000)</f>
        <v>1.0631307307011093</v>
      </c>
      <c r="AE25" s="69">
        <f>AE24/(AE12*'Fluxo de Caixa dos Acionistas'!AE5/1000)</f>
        <v>0.90405429830519346</v>
      </c>
      <c r="AF25" s="69">
        <f>AF24/(AF12*'Fluxo de Caixa dos Acionistas'!AF5/1000)</f>
        <v>1.0127199205120143</v>
      </c>
    </row>
    <row r="26" spans="1:32" s="1" customFormat="1" x14ac:dyDescent="0.3">
      <c r="C26" s="56"/>
      <c r="D26" s="56"/>
      <c r="E26" s="56"/>
      <c r="F26" s="56"/>
      <c r="G26" s="56"/>
      <c r="H26" s="56"/>
      <c r="I26" s="56"/>
      <c r="J26" s="56"/>
      <c r="K26" s="62"/>
      <c r="L26" s="56"/>
      <c r="M26" s="56"/>
      <c r="N26" s="56"/>
      <c r="O26" s="56"/>
      <c r="P26" s="56"/>
      <c r="Q26" s="56"/>
      <c r="R26" s="56"/>
      <c r="S26" s="56"/>
      <c r="T26" s="56"/>
      <c r="U26" s="56"/>
      <c r="V26" s="56"/>
      <c r="W26" s="56"/>
      <c r="X26" s="56"/>
      <c r="Y26" s="56"/>
      <c r="Z26" s="56"/>
      <c r="AA26" s="56"/>
      <c r="AB26" s="56"/>
      <c r="AC26" s="56"/>
      <c r="AD26" s="56"/>
      <c r="AE26" s="56"/>
      <c r="AF26" s="56"/>
    </row>
    <row r="27" spans="1:32" s="1" customFormat="1" x14ac:dyDescent="0.3">
      <c r="AB27" s="96"/>
      <c r="AC27" s="96"/>
      <c r="AD27" s="96"/>
    </row>
    <row r="28" spans="1:32" s="212" customFormat="1" x14ac:dyDescent="0.3">
      <c r="A28" s="212" t="s">
        <v>262</v>
      </c>
      <c r="C28" s="216"/>
      <c r="D28" s="216"/>
      <c r="E28" s="216"/>
      <c r="F28" s="216"/>
      <c r="G28" s="216"/>
      <c r="H28" s="216"/>
      <c r="I28" s="216"/>
      <c r="J28" s="216"/>
      <c r="K28" s="216"/>
      <c r="L28" s="216"/>
      <c r="M28" s="216"/>
      <c r="N28" s="216"/>
      <c r="O28" s="216"/>
      <c r="P28" s="216"/>
      <c r="Q28" s="216"/>
      <c r="R28" s="216"/>
      <c r="S28" s="216"/>
      <c r="T28" s="216"/>
      <c r="U28" s="216"/>
      <c r="V28" s="216"/>
      <c r="W28" s="216"/>
      <c r="X28" s="216"/>
      <c r="Y28" s="216"/>
      <c r="Z28" s="216"/>
      <c r="AA28" s="216"/>
      <c r="AB28" s="216"/>
      <c r="AC28" s="216"/>
      <c r="AD28" s="216"/>
    </row>
    <row r="29" spans="1:32" s="1" customFormat="1" x14ac:dyDescent="0.3"/>
    <row r="30" spans="1:32" s="1" customFormat="1" x14ac:dyDescent="0.3">
      <c r="A30" s="1" t="s">
        <v>272</v>
      </c>
      <c r="C30" s="51">
        <f t="shared" ref="C30:AB30" si="0">C32*C31</f>
        <v>156511.16</v>
      </c>
      <c r="D30" s="51">
        <f t="shared" si="0"/>
        <v>121696.4</v>
      </c>
      <c r="E30" s="51">
        <f t="shared" si="0"/>
        <v>203478.72</v>
      </c>
      <c r="F30" s="51">
        <f t="shared" si="0"/>
        <v>231057.54</v>
      </c>
      <c r="G30" s="48">
        <f t="shared" si="0"/>
        <v>707462.71000000008</v>
      </c>
      <c r="H30" s="51">
        <f t="shared" si="0"/>
        <v>97918.332400000014</v>
      </c>
      <c r="I30" s="51">
        <f t="shared" si="0"/>
        <v>137220</v>
      </c>
      <c r="J30" s="51">
        <f t="shared" si="0"/>
        <v>93651.930000000008</v>
      </c>
      <c r="K30" s="51">
        <f t="shared" si="0"/>
        <v>146384.64000000001</v>
      </c>
      <c r="L30" s="48">
        <f t="shared" si="0"/>
        <v>475174.90240000008</v>
      </c>
      <c r="M30" s="51">
        <f t="shared" si="0"/>
        <v>46159.08</v>
      </c>
      <c r="N30" s="51">
        <f t="shared" si="0"/>
        <v>49020.73</v>
      </c>
      <c r="O30" s="51">
        <f t="shared" si="0"/>
        <v>102418.58</v>
      </c>
      <c r="P30" s="51">
        <f t="shared" si="0"/>
        <v>172318.5</v>
      </c>
      <c r="Q30" s="48">
        <f t="shared" si="0"/>
        <v>369916.89</v>
      </c>
      <c r="R30" s="51">
        <f t="shared" si="0"/>
        <v>119902.31999999999</v>
      </c>
      <c r="S30" s="51">
        <f t="shared" si="0"/>
        <v>189653.44999999998</v>
      </c>
      <c r="T30" s="51">
        <f t="shared" si="0"/>
        <v>184834.44</v>
      </c>
      <c r="U30" s="51">
        <f t="shared" si="0"/>
        <v>318368.13</v>
      </c>
      <c r="V30" s="48">
        <f t="shared" si="0"/>
        <v>812758.34000000008</v>
      </c>
      <c r="W30" s="51">
        <f t="shared" si="0"/>
        <v>308563.44</v>
      </c>
      <c r="X30" s="51">
        <f t="shared" si="0"/>
        <v>362714.39</v>
      </c>
      <c r="Y30" s="51">
        <f t="shared" si="0"/>
        <v>363002.92</v>
      </c>
      <c r="Z30" s="51">
        <f t="shared" si="0"/>
        <v>195638.75999999998</v>
      </c>
      <c r="AA30" s="48">
        <f t="shared" si="0"/>
        <v>1229919.51</v>
      </c>
      <c r="AB30" s="51">
        <f t="shared" si="0"/>
        <v>604559.70000000007</v>
      </c>
      <c r="AC30" s="51">
        <f>AC32*AC31</f>
        <v>555806.52</v>
      </c>
      <c r="AD30" s="51">
        <f>AD32*AD31</f>
        <v>845082.56</v>
      </c>
      <c r="AE30" s="51">
        <f>AE32*AE31</f>
        <v>645664.77</v>
      </c>
      <c r="AF30" s="48">
        <f>AF32*AF31</f>
        <v>2651113.5500000003</v>
      </c>
    </row>
    <row r="31" spans="1:32" s="1" customFormat="1" x14ac:dyDescent="0.3">
      <c r="A31" s="42" t="s">
        <v>273</v>
      </c>
      <c r="C31" s="51">
        <f t="shared" ref="C31:AF31" si="1">C24</f>
        <v>2452</v>
      </c>
      <c r="D31" s="51">
        <f t="shared" si="1"/>
        <v>1774</v>
      </c>
      <c r="E31" s="51">
        <f t="shared" si="1"/>
        <v>2683</v>
      </c>
      <c r="F31" s="51">
        <f t="shared" si="1"/>
        <v>3082</v>
      </c>
      <c r="G31" s="48">
        <f t="shared" si="1"/>
        <v>9991</v>
      </c>
      <c r="H31" s="51">
        <f t="shared" si="1"/>
        <v>1520.471</v>
      </c>
      <c r="I31" s="51">
        <f t="shared" si="1"/>
        <v>2000</v>
      </c>
      <c r="J31" s="51">
        <f t="shared" si="1"/>
        <v>1503</v>
      </c>
      <c r="K31" s="51">
        <f t="shared" si="1"/>
        <v>2328</v>
      </c>
      <c r="L31" s="48">
        <f t="shared" si="1"/>
        <v>7351.4709999999995</v>
      </c>
      <c r="M31" s="51">
        <f t="shared" si="1"/>
        <v>1452</v>
      </c>
      <c r="N31" s="51">
        <f t="shared" si="1"/>
        <v>1397</v>
      </c>
      <c r="O31" s="51">
        <f t="shared" si="1"/>
        <v>2398</v>
      </c>
      <c r="P31" s="51">
        <f t="shared" si="1"/>
        <v>3725</v>
      </c>
      <c r="Q31" s="48">
        <f t="shared" si="1"/>
        <v>8972</v>
      </c>
      <c r="R31" s="51">
        <f t="shared" si="1"/>
        <v>1928</v>
      </c>
      <c r="S31" s="51">
        <f t="shared" si="1"/>
        <v>2837</v>
      </c>
      <c r="T31" s="51">
        <f t="shared" si="1"/>
        <v>2484</v>
      </c>
      <c r="U31" s="51">
        <f t="shared" si="1"/>
        <v>3827</v>
      </c>
      <c r="V31" s="48">
        <f t="shared" si="1"/>
        <v>11076</v>
      </c>
      <c r="W31" s="51">
        <f t="shared" si="1"/>
        <v>2798</v>
      </c>
      <c r="X31" s="51">
        <f t="shared" si="1"/>
        <v>3347</v>
      </c>
      <c r="Y31" s="51">
        <f t="shared" si="1"/>
        <v>3847</v>
      </c>
      <c r="Z31" s="51">
        <f t="shared" si="1"/>
        <v>2293</v>
      </c>
      <c r="AA31" s="48">
        <f t="shared" si="1"/>
        <v>12285</v>
      </c>
      <c r="AB31" s="51">
        <f t="shared" si="1"/>
        <v>7290</v>
      </c>
      <c r="AC31" s="51">
        <f t="shared" si="1"/>
        <v>7156</v>
      </c>
      <c r="AD31" s="51">
        <f t="shared" si="1"/>
        <v>9772</v>
      </c>
      <c r="AE31" s="51">
        <f t="shared" si="1"/>
        <v>8343</v>
      </c>
      <c r="AF31" s="48">
        <f t="shared" si="1"/>
        <v>32561</v>
      </c>
    </row>
    <row r="32" spans="1:32" s="1" customFormat="1" x14ac:dyDescent="0.3">
      <c r="A32" s="42" t="s">
        <v>274</v>
      </c>
      <c r="C32" s="70">
        <f>C14</f>
        <v>63.83</v>
      </c>
      <c r="D32" s="70">
        <f>D14</f>
        <v>68.599999999999994</v>
      </c>
      <c r="E32" s="70">
        <f>E14</f>
        <v>75.84</v>
      </c>
      <c r="F32" s="70">
        <f>F14</f>
        <v>74.97</v>
      </c>
      <c r="G32" s="61">
        <f>G14</f>
        <v>70.81</v>
      </c>
      <c r="H32" s="70">
        <f t="shared" ref="H32:AF32" si="2">H15</f>
        <v>64.400000000000006</v>
      </c>
      <c r="I32" s="70">
        <f t="shared" si="2"/>
        <v>68.61</v>
      </c>
      <c r="J32" s="70">
        <f t="shared" si="2"/>
        <v>62.31</v>
      </c>
      <c r="K32" s="70">
        <f t="shared" si="2"/>
        <v>62.88</v>
      </c>
      <c r="L32" s="61">
        <f t="shared" si="2"/>
        <v>64.636710448833995</v>
      </c>
      <c r="M32" s="70">
        <f t="shared" si="2"/>
        <v>31.79</v>
      </c>
      <c r="N32" s="70">
        <f t="shared" si="2"/>
        <v>35.090000000000003</v>
      </c>
      <c r="O32" s="70">
        <f t="shared" si="2"/>
        <v>42.71</v>
      </c>
      <c r="P32" s="70">
        <f t="shared" si="2"/>
        <v>46.26</v>
      </c>
      <c r="Q32" s="61">
        <f t="shared" si="2"/>
        <v>41.230148238965675</v>
      </c>
      <c r="R32" s="70">
        <f t="shared" si="2"/>
        <v>62.19</v>
      </c>
      <c r="S32" s="70">
        <f t="shared" si="2"/>
        <v>66.849999999999994</v>
      </c>
      <c r="T32" s="70">
        <f t="shared" si="2"/>
        <v>74.41</v>
      </c>
      <c r="U32" s="70">
        <f t="shared" si="2"/>
        <v>83.19</v>
      </c>
      <c r="V32" s="61">
        <f t="shared" si="2"/>
        <v>73.380131816540271</v>
      </c>
      <c r="W32" s="70">
        <f t="shared" si="2"/>
        <v>110.28</v>
      </c>
      <c r="X32" s="70">
        <f t="shared" si="2"/>
        <v>108.37</v>
      </c>
      <c r="Y32" s="70">
        <f t="shared" si="2"/>
        <v>94.36</v>
      </c>
      <c r="Z32" s="70">
        <f t="shared" si="2"/>
        <v>85.32</v>
      </c>
      <c r="AA32" s="61">
        <f t="shared" si="2"/>
        <v>100.11554822954822</v>
      </c>
      <c r="AB32" s="70">
        <f t="shared" si="2"/>
        <v>82.93</v>
      </c>
      <c r="AC32" s="70">
        <f t="shared" si="2"/>
        <v>77.67</v>
      </c>
      <c r="AD32" s="70">
        <f t="shared" si="2"/>
        <v>86.48</v>
      </c>
      <c r="AE32" s="70">
        <f t="shared" si="2"/>
        <v>77.39</v>
      </c>
      <c r="AF32" s="61">
        <f t="shared" si="2"/>
        <v>81.419905715426438</v>
      </c>
    </row>
    <row r="33" spans="1:32" s="1" customFormat="1" x14ac:dyDescent="0.3"/>
    <row r="34" spans="1:32" s="1" customFormat="1" x14ac:dyDescent="0.3">
      <c r="A34" s="1" t="s">
        <v>275</v>
      </c>
      <c r="C34" s="51">
        <f t="shared" ref="C34:AC34" si="3">C35*C30</f>
        <v>507096.15840000007</v>
      </c>
      <c r="D34" s="51">
        <f t="shared" si="3"/>
        <v>439324.00399999996</v>
      </c>
      <c r="E34" s="51">
        <f t="shared" si="3"/>
        <v>803740.94400000002</v>
      </c>
      <c r="F34" s="51">
        <f t="shared" si="3"/>
        <v>880329.22740000009</v>
      </c>
      <c r="G34" s="48">
        <f t="shared" si="3"/>
        <v>2584007.5482750004</v>
      </c>
      <c r="H34" s="51">
        <f t="shared" si="3"/>
        <v>369152.11314800003</v>
      </c>
      <c r="I34" s="51">
        <f t="shared" si="3"/>
        <v>537902.4</v>
      </c>
      <c r="J34" s="51">
        <f t="shared" si="3"/>
        <v>371798.16210000007</v>
      </c>
      <c r="K34" s="51">
        <f t="shared" si="3"/>
        <v>603104.71680000005</v>
      </c>
      <c r="L34" s="48">
        <f t="shared" si="3"/>
        <v>1874564.9899680004</v>
      </c>
      <c r="M34" s="51">
        <f t="shared" si="3"/>
        <v>206331.0876</v>
      </c>
      <c r="N34" s="51">
        <f t="shared" si="3"/>
        <v>264221.73470000003</v>
      </c>
      <c r="O34" s="51">
        <f t="shared" si="3"/>
        <v>551011.96039999998</v>
      </c>
      <c r="P34" s="51">
        <f t="shared" si="3"/>
        <v>930519.9</v>
      </c>
      <c r="Q34" s="48">
        <f t="shared" si="3"/>
        <v>1908771.1524</v>
      </c>
      <c r="R34" s="51">
        <f t="shared" si="3"/>
        <v>657064.71360000002</v>
      </c>
      <c r="S34" s="51">
        <f t="shared" si="3"/>
        <v>1003266.7505</v>
      </c>
      <c r="T34" s="51">
        <f t="shared" si="3"/>
        <v>966684.12120000005</v>
      </c>
      <c r="U34" s="51">
        <f t="shared" si="3"/>
        <v>1779677.8466999999</v>
      </c>
      <c r="V34" s="48">
        <f t="shared" si="3"/>
        <v>4386863.1401500003</v>
      </c>
      <c r="W34" s="51">
        <f t="shared" si="3"/>
        <v>1542817.2</v>
      </c>
      <c r="X34" s="51">
        <f t="shared" si="3"/>
        <v>1853470.5329000002</v>
      </c>
      <c r="Y34" s="51">
        <f t="shared" si="3"/>
        <v>1905765.3299999998</v>
      </c>
      <c r="Z34" s="51">
        <f t="shared" si="3"/>
        <v>1029059.8775999999</v>
      </c>
      <c r="AA34" s="48">
        <f t="shared" si="3"/>
        <v>6340235.074049999</v>
      </c>
      <c r="AB34" s="51">
        <f t="shared" si="3"/>
        <v>3059072.0819999999</v>
      </c>
      <c r="AC34" s="51">
        <f t="shared" si="3"/>
        <v>2662313.2308</v>
      </c>
      <c r="AD34" s="51">
        <f>AD35*AD30</f>
        <v>4250765.2768000001</v>
      </c>
      <c r="AE34" s="51">
        <f>AE35*AE30</f>
        <v>3131474.1344999997</v>
      </c>
      <c r="AF34" s="48">
        <f>AF35*AF30</f>
        <v>13235684.398375003</v>
      </c>
    </row>
    <row r="35" spans="1:32" s="1" customFormat="1" x14ac:dyDescent="0.3">
      <c r="A35" s="42" t="s">
        <v>276</v>
      </c>
      <c r="C35" s="70">
        <f t="shared" ref="C35:AA35" si="4">C16</f>
        <v>3.24</v>
      </c>
      <c r="D35" s="70">
        <f t="shared" si="4"/>
        <v>3.61</v>
      </c>
      <c r="E35" s="70">
        <f t="shared" si="4"/>
        <v>3.95</v>
      </c>
      <c r="F35" s="70">
        <f t="shared" si="4"/>
        <v>3.81</v>
      </c>
      <c r="G35" s="61">
        <f t="shared" si="4"/>
        <v>3.6525000000000003</v>
      </c>
      <c r="H35" s="70">
        <f t="shared" si="4"/>
        <v>3.77</v>
      </c>
      <c r="I35" s="70">
        <f t="shared" si="4"/>
        <v>3.92</v>
      </c>
      <c r="J35" s="70">
        <f t="shared" si="4"/>
        <v>3.97</v>
      </c>
      <c r="K35" s="70">
        <f t="shared" si="4"/>
        <v>4.12</v>
      </c>
      <c r="L35" s="61">
        <f t="shared" si="4"/>
        <v>3.9450000000000003</v>
      </c>
      <c r="M35" s="70">
        <f t="shared" si="4"/>
        <v>4.47</v>
      </c>
      <c r="N35" s="70">
        <f t="shared" si="4"/>
        <v>5.39</v>
      </c>
      <c r="O35" s="70">
        <f t="shared" si="4"/>
        <v>5.38</v>
      </c>
      <c r="P35" s="70">
        <f t="shared" si="4"/>
        <v>5.4</v>
      </c>
      <c r="Q35" s="61">
        <f t="shared" si="4"/>
        <v>5.16</v>
      </c>
      <c r="R35" s="70">
        <f t="shared" si="4"/>
        <v>5.48</v>
      </c>
      <c r="S35" s="70">
        <f t="shared" si="4"/>
        <v>5.29</v>
      </c>
      <c r="T35" s="70">
        <f t="shared" si="4"/>
        <v>5.23</v>
      </c>
      <c r="U35" s="70">
        <f t="shared" si="4"/>
        <v>5.59</v>
      </c>
      <c r="V35" s="61">
        <f t="shared" si="4"/>
        <v>5.3975</v>
      </c>
      <c r="W35" s="70">
        <f t="shared" si="4"/>
        <v>5</v>
      </c>
      <c r="X35" s="70">
        <f t="shared" si="4"/>
        <v>5.1100000000000003</v>
      </c>
      <c r="Y35" s="70">
        <f t="shared" si="4"/>
        <v>5.25</v>
      </c>
      <c r="Z35" s="70">
        <f t="shared" si="4"/>
        <v>5.26</v>
      </c>
      <c r="AA35" s="61">
        <f t="shared" si="4"/>
        <v>5.1549999999999994</v>
      </c>
      <c r="AB35" s="70">
        <f>AB17</f>
        <v>5.0599999999999996</v>
      </c>
      <c r="AC35" s="70">
        <f>AC17</f>
        <v>4.79</v>
      </c>
      <c r="AD35" s="70">
        <f>AD17</f>
        <v>5.03</v>
      </c>
      <c r="AE35" s="70">
        <f>AE17</f>
        <v>4.8499999999999996</v>
      </c>
      <c r="AF35" s="61">
        <f>AF16</f>
        <v>4.9925000000000006</v>
      </c>
    </row>
    <row r="36" spans="1:32" s="1" customFormat="1" x14ac:dyDescent="0.3"/>
    <row r="37" spans="1:32" s="1" customFormat="1" x14ac:dyDescent="0.3">
      <c r="A37" s="1" t="s">
        <v>278</v>
      </c>
      <c r="C37" s="51">
        <f>'Fluxo de Caixa dos Acionistas'!C16</f>
        <v>117155</v>
      </c>
      <c r="D37" s="51">
        <f>'Fluxo de Caixa dos Acionistas'!D16</f>
        <v>239405</v>
      </c>
      <c r="E37" s="51">
        <f>'Fluxo de Caixa dos Acionistas'!E16</f>
        <v>224627</v>
      </c>
      <c r="F37" s="51">
        <f>'Fluxo de Caixa dos Acionistas'!F16</f>
        <v>267733</v>
      </c>
      <c r="G37" s="48">
        <f>'Fluxo de Caixa dos Acionistas'!G16</f>
        <v>848920</v>
      </c>
      <c r="H37" s="51">
        <f>'Fluxo de Caixa dos Acionistas'!H16</f>
        <v>139431</v>
      </c>
      <c r="I37" s="51">
        <f>'Fluxo de Caixa dos Acionistas'!I16</f>
        <v>547875</v>
      </c>
      <c r="J37" s="51">
        <f>'Fluxo de Caixa dos Acionistas'!J16</f>
        <v>399045</v>
      </c>
      <c r="K37" s="51">
        <f>'Fluxo de Caixa dos Acionistas'!K16</f>
        <v>557995</v>
      </c>
      <c r="L37" s="48">
        <f>'Fluxo de Caixa dos Acionistas'!L16</f>
        <v>1644346</v>
      </c>
      <c r="M37" s="51">
        <f>'Fluxo de Caixa dos Acionistas'!M16</f>
        <v>223162</v>
      </c>
      <c r="N37" s="51">
        <f>'Fluxo de Caixa dos Acionistas'!N16</f>
        <v>312293</v>
      </c>
      <c r="O37" s="51">
        <f>'Fluxo de Caixa dos Acionistas'!O16</f>
        <v>488695</v>
      </c>
      <c r="P37" s="51">
        <f>'Fluxo de Caixa dos Acionistas'!P16</f>
        <v>880035</v>
      </c>
      <c r="Q37" s="48">
        <f>'Fluxo de Caixa dos Acionistas'!Q16</f>
        <v>1904185</v>
      </c>
      <c r="R37" s="51">
        <f>'Fluxo de Caixa dos Acionistas'!R16</f>
        <v>655334</v>
      </c>
      <c r="S37" s="51">
        <f>'Fluxo de Caixa dos Acionistas'!S16</f>
        <v>1022837</v>
      </c>
      <c r="T37" s="51">
        <f>'Fluxo de Caixa dos Acionistas'!T16</f>
        <v>939517</v>
      </c>
      <c r="U37" s="51">
        <f>'Fluxo de Caixa dos Acionistas'!U16</f>
        <v>1778315</v>
      </c>
      <c r="V37" s="48">
        <f>'Fluxo de Caixa dos Acionistas'!V16</f>
        <v>4396003</v>
      </c>
      <c r="W37" s="51">
        <f>'Fluxo de Caixa dos Acionistas'!W16</f>
        <v>1529995</v>
      </c>
      <c r="X37" s="51">
        <f>'Fluxo de Caixa dos Acionistas'!X16</f>
        <v>1873985</v>
      </c>
      <c r="Y37" s="51">
        <f>'Fluxo de Caixa dos Acionistas'!Y16</f>
        <v>1985786</v>
      </c>
      <c r="Z37" s="51">
        <f>'Fluxo de Caixa dos Acionistas'!Z16</f>
        <v>973709</v>
      </c>
      <c r="AA37" s="48">
        <f>'Fluxo de Caixa dos Acionistas'!AA16</f>
        <v>6363475</v>
      </c>
      <c r="AB37" s="51">
        <f>'Fluxo de Caixa dos Acionistas'!AB16</f>
        <v>2814955</v>
      </c>
      <c r="AC37" s="51">
        <f>'Fluxo de Caixa dos Acionistas'!AC16</f>
        <v>2311206</v>
      </c>
      <c r="AD37" s="51">
        <f>'Fluxo de Caixa dos Acionistas'!AD16</f>
        <v>3783682</v>
      </c>
      <c r="AE37" s="51">
        <f>'Fluxo de Caixa dos Acionistas'!AE16</f>
        <v>2995198</v>
      </c>
      <c r="AF37" s="48">
        <f>'Fluxo de Caixa dos Acionistas'!AF16</f>
        <v>11905041</v>
      </c>
    </row>
    <row r="38" spans="1:32" s="1" customFormat="1" x14ac:dyDescent="0.3"/>
    <row r="39" spans="1:32" s="1" customFormat="1" x14ac:dyDescent="0.3"/>
    <row r="40" spans="1:32" s="212" customFormat="1" x14ac:dyDescent="0.3">
      <c r="A40" s="212" t="s">
        <v>280</v>
      </c>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row>
    <row r="41" spans="1:32" s="1" customFormat="1" x14ac:dyDescent="0.3"/>
    <row r="42" spans="1:32" s="38" customFormat="1" x14ac:dyDescent="0.3">
      <c r="A42" s="38" t="s">
        <v>281</v>
      </c>
      <c r="C42" s="1"/>
      <c r="D42" s="1"/>
      <c r="E42" s="1"/>
      <c r="F42" s="1"/>
      <c r="G42" s="1"/>
      <c r="H42" s="1"/>
      <c r="I42" s="1"/>
      <c r="J42" s="1"/>
      <c r="K42" s="1"/>
      <c r="L42" s="1"/>
      <c r="M42" s="1"/>
      <c r="N42" s="1"/>
      <c r="O42" s="1"/>
      <c r="P42" s="1"/>
      <c r="Q42" s="1"/>
      <c r="R42" s="1"/>
      <c r="S42" s="1"/>
      <c r="T42" s="1"/>
      <c r="U42" s="1"/>
      <c r="V42" s="73">
        <v>810882</v>
      </c>
      <c r="W42" s="73">
        <v>309676</v>
      </c>
      <c r="X42" s="73">
        <v>377337</v>
      </c>
      <c r="Y42" s="73">
        <v>378155</v>
      </c>
      <c r="Z42" s="48">
        <f>AA42-Y42-X42-W42</f>
        <v>184491</v>
      </c>
      <c r="AA42" s="73">
        <v>1249659</v>
      </c>
      <c r="AB42" s="73">
        <v>564716</v>
      </c>
      <c r="AC42" s="73">
        <v>532490</v>
      </c>
      <c r="AD42" s="73">
        <v>835253</v>
      </c>
      <c r="AE42" s="48">
        <f>AF42-AD42-AC42-AB42</f>
        <v>690652</v>
      </c>
      <c r="AF42" s="73">
        <v>2623111</v>
      </c>
    </row>
    <row r="43" spans="1:32" s="1" customFormat="1" x14ac:dyDescent="0.3">
      <c r="A43" s="42" t="s">
        <v>282</v>
      </c>
      <c r="V43" s="55">
        <v>0</v>
      </c>
      <c r="W43" s="55">
        <v>0</v>
      </c>
      <c r="X43" s="55">
        <v>0</v>
      </c>
      <c r="Y43" s="55">
        <v>0</v>
      </c>
      <c r="Z43" s="51">
        <f>AA43-Y43-X43-W43</f>
        <v>-9795</v>
      </c>
      <c r="AA43" s="55">
        <v>-9795</v>
      </c>
      <c r="AB43" s="55">
        <v>-21550</v>
      </c>
      <c r="AC43" s="55">
        <v>-47635</v>
      </c>
      <c r="AD43" s="55">
        <v>-11161</v>
      </c>
      <c r="AE43" s="51">
        <f>AF43-AD43-AC43-AB43</f>
        <v>-4522</v>
      </c>
      <c r="AF43" s="55">
        <v>-84868</v>
      </c>
    </row>
    <row r="44" spans="1:32" s="1" customFormat="1" x14ac:dyDescent="0.3">
      <c r="A44" s="38" t="s">
        <v>284</v>
      </c>
      <c r="V44" s="48">
        <f t="shared" ref="V44:AD44" si="5">V43+V42</f>
        <v>810882</v>
      </c>
      <c r="W44" s="48">
        <f t="shared" si="5"/>
        <v>309676</v>
      </c>
      <c r="X44" s="48">
        <f t="shared" si="5"/>
        <v>377337</v>
      </c>
      <c r="Y44" s="48">
        <f t="shared" si="5"/>
        <v>378155</v>
      </c>
      <c r="Z44" s="48">
        <f t="shared" si="5"/>
        <v>174696</v>
      </c>
      <c r="AA44" s="48">
        <f t="shared" si="5"/>
        <v>1239864</v>
      </c>
      <c r="AB44" s="48">
        <f t="shared" si="5"/>
        <v>543166</v>
      </c>
      <c r="AC44" s="48">
        <f t="shared" si="5"/>
        <v>484855</v>
      </c>
      <c r="AD44" s="48">
        <f t="shared" si="5"/>
        <v>824092</v>
      </c>
      <c r="AE44" s="48">
        <f>AE43+AE42</f>
        <v>686130</v>
      </c>
      <c r="AF44" s="48">
        <f>AF43+AF42</f>
        <v>2538243</v>
      </c>
    </row>
    <row r="45" spans="1:32" s="1" customFormat="1" x14ac:dyDescent="0.3">
      <c r="A45" s="42" t="s">
        <v>285</v>
      </c>
      <c r="V45" s="55">
        <v>-148217</v>
      </c>
      <c r="W45" s="55">
        <v>-42365</v>
      </c>
      <c r="X45" s="55">
        <v>-55444</v>
      </c>
      <c r="Y45" s="55">
        <v>-44736</v>
      </c>
      <c r="Z45" s="51">
        <f>AA45-Y45-X45-W45</f>
        <v>-26357</v>
      </c>
      <c r="AA45" s="55">
        <v>-168902</v>
      </c>
      <c r="AB45" s="55">
        <v>-79358</v>
      </c>
      <c r="AC45" s="55">
        <v>-45156</v>
      </c>
      <c r="AD45" s="55">
        <v>-62922</v>
      </c>
      <c r="AE45" s="51">
        <f>AF45-AD45-AC45-AB45</f>
        <v>-43489</v>
      </c>
      <c r="AF45" s="55">
        <v>-230925</v>
      </c>
    </row>
    <row r="46" spans="1:32" s="1" customFormat="1" x14ac:dyDescent="0.3">
      <c r="A46" s="42" t="s">
        <v>290</v>
      </c>
      <c r="V46" s="55">
        <v>-114453</v>
      </c>
      <c r="W46" s="55">
        <f>-31733-W51</f>
        <v>-27525</v>
      </c>
      <c r="X46" s="55">
        <f>-37350-X51</f>
        <v>-32986</v>
      </c>
      <c r="Y46" s="55">
        <f>-27018-Y51</f>
        <v>-19661</v>
      </c>
      <c r="Z46" s="51">
        <f>AA46-Y46-X46-W46</f>
        <v>-51406</v>
      </c>
      <c r="AA46" s="55">
        <f>-397668-AA47-AA45</f>
        <v>-131578</v>
      </c>
      <c r="AB46" s="55">
        <f>-69086-AB51</f>
        <v>-64944</v>
      </c>
      <c r="AC46" s="55">
        <f>-95526-AC51</f>
        <v>-91389</v>
      </c>
      <c r="AD46" s="55">
        <f>-162724-AD51</f>
        <v>-159476</v>
      </c>
      <c r="AE46" s="51">
        <f>AF46-AD46-AC46-AB46</f>
        <v>-78918</v>
      </c>
      <c r="AF46" s="55">
        <v>-394727</v>
      </c>
    </row>
    <row r="47" spans="1:32" s="1" customFormat="1" x14ac:dyDescent="0.3">
      <c r="A47" s="42" t="s">
        <v>14</v>
      </c>
      <c r="V47" s="55">
        <v>-59376</v>
      </c>
      <c r="W47" s="55">
        <v>-23474</v>
      </c>
      <c r="X47" s="55">
        <v>-31598</v>
      </c>
      <c r="Y47" s="55">
        <v>-47974</v>
      </c>
      <c r="Z47" s="51">
        <f>AA47-Y47-X47-W47</f>
        <v>5858</v>
      </c>
      <c r="AA47" s="55">
        <v>-97188</v>
      </c>
      <c r="AB47" s="55">
        <v>-43960</v>
      </c>
      <c r="AC47" s="55">
        <v>-46643</v>
      </c>
      <c r="AD47" s="55">
        <v>-63993</v>
      </c>
      <c r="AE47" s="51">
        <f>AF47-AD47-AC47-AB47</f>
        <v>-75955</v>
      </c>
      <c r="AF47" s="55">
        <v>-230551</v>
      </c>
    </row>
    <row r="48" spans="1:32" s="1" customFormat="1" x14ac:dyDescent="0.3">
      <c r="A48" s="38" t="s">
        <v>286</v>
      </c>
      <c r="V48" s="48">
        <f t="shared" ref="V48:AD48" si="6">V47+V45+V44+V46</f>
        <v>488836</v>
      </c>
      <c r="W48" s="48">
        <f t="shared" si="6"/>
        <v>216312</v>
      </c>
      <c r="X48" s="48">
        <f t="shared" si="6"/>
        <v>257309</v>
      </c>
      <c r="Y48" s="48">
        <f t="shared" si="6"/>
        <v>265784</v>
      </c>
      <c r="Z48" s="48">
        <f t="shared" si="6"/>
        <v>102791</v>
      </c>
      <c r="AA48" s="48">
        <f t="shared" si="6"/>
        <v>842196</v>
      </c>
      <c r="AB48" s="48">
        <f t="shared" si="6"/>
        <v>354904</v>
      </c>
      <c r="AC48" s="48">
        <f t="shared" si="6"/>
        <v>301667</v>
      </c>
      <c r="AD48" s="48">
        <f t="shared" si="6"/>
        <v>537701</v>
      </c>
      <c r="AE48" s="48">
        <f>AE47+AE45+AE44+AE46</f>
        <v>487768</v>
      </c>
      <c r="AF48" s="48">
        <f>AF47+AF45+AF44+AF46</f>
        <v>1682040</v>
      </c>
    </row>
    <row r="49" spans="1:32" s="1" customFormat="1" x14ac:dyDescent="0.3">
      <c r="A49" s="42" t="s">
        <v>283</v>
      </c>
      <c r="V49" s="55"/>
      <c r="W49" s="55">
        <v>0</v>
      </c>
      <c r="X49" s="55">
        <v>0</v>
      </c>
      <c r="Y49" s="55">
        <v>0</v>
      </c>
      <c r="Z49" s="51">
        <f>AA49-Y49-X49-W49</f>
        <v>0</v>
      </c>
      <c r="AA49" s="55">
        <v>0</v>
      </c>
      <c r="AB49" s="55">
        <v>-18567</v>
      </c>
      <c r="AC49" s="55">
        <v>-34042</v>
      </c>
      <c r="AD49" s="55">
        <v>-32303</v>
      </c>
      <c r="AE49" s="51">
        <f>AF49-AD49-AC49-AB49</f>
        <v>-52366</v>
      </c>
      <c r="AF49" s="55">
        <v>-137278</v>
      </c>
    </row>
    <row r="50" spans="1:32" s="1" customFormat="1" x14ac:dyDescent="0.3">
      <c r="A50" s="42" t="s">
        <v>287</v>
      </c>
      <c r="V50" s="55">
        <v>-37780</v>
      </c>
      <c r="W50" s="55">
        <v>-12576</v>
      </c>
      <c r="X50" s="55">
        <v>-13231</v>
      </c>
      <c r="Y50" s="55">
        <v>-11713</v>
      </c>
      <c r="Z50" s="51">
        <f>AA50-Y50-X50-W50</f>
        <v>-11865</v>
      </c>
      <c r="AA50" s="55">
        <v>-49385</v>
      </c>
      <c r="AB50" s="55">
        <v>-12033</v>
      </c>
      <c r="AC50" s="55">
        <v>-16610</v>
      </c>
      <c r="AD50" s="55">
        <v>-21949</v>
      </c>
      <c r="AE50" s="51">
        <f>AF50-AD50-AC50-AB50</f>
        <v>-38504</v>
      </c>
      <c r="AF50" s="55">
        <v>-89096</v>
      </c>
    </row>
    <row r="51" spans="1:32" s="1" customFormat="1" x14ac:dyDescent="0.3">
      <c r="A51" s="42" t="s">
        <v>291</v>
      </c>
      <c r="V51" s="55"/>
      <c r="W51" s="55">
        <v>-4208</v>
      </c>
      <c r="X51" s="55">
        <f>-8572-W51</f>
        <v>-4364</v>
      </c>
      <c r="Y51" s="55">
        <f>-15929-X51-W51</f>
        <v>-7357</v>
      </c>
      <c r="Z51" s="51">
        <f>AA51-Y51-X51-W51</f>
        <v>2153</v>
      </c>
      <c r="AA51" s="55">
        <v>-13776</v>
      </c>
      <c r="AB51" s="55">
        <v>-4142</v>
      </c>
      <c r="AC51" s="55">
        <f>-8279-AB51</f>
        <v>-4137</v>
      </c>
      <c r="AD51" s="55">
        <v>-3248</v>
      </c>
      <c r="AE51" s="51">
        <f>AF51-AD51-AC51-AB51</f>
        <v>11527</v>
      </c>
      <c r="AF51" s="55">
        <v>0</v>
      </c>
    </row>
    <row r="52" spans="1:32" s="1" customFormat="1" x14ac:dyDescent="0.3">
      <c r="A52" s="42" t="s">
        <v>289</v>
      </c>
      <c r="V52" s="55">
        <v>-12075</v>
      </c>
      <c r="W52" s="55">
        <v>-3972</v>
      </c>
      <c r="X52" s="55">
        <v>-20039</v>
      </c>
      <c r="Y52" s="55">
        <v>-988</v>
      </c>
      <c r="Z52" s="51">
        <f>AA52-Y52-X52-W52</f>
        <v>51884</v>
      </c>
      <c r="AA52" s="55">
        <v>26885</v>
      </c>
      <c r="AB52" s="55">
        <v>-27246</v>
      </c>
      <c r="AC52" s="55">
        <v>-1483</v>
      </c>
      <c r="AD52" s="55">
        <v>-13243</v>
      </c>
      <c r="AE52" s="51">
        <f>AF52-AD52-AC52-AB52</f>
        <v>47269</v>
      </c>
      <c r="AF52" s="55">
        <v>5297</v>
      </c>
    </row>
    <row r="53" spans="1:32" s="1" customFormat="1" x14ac:dyDescent="0.3">
      <c r="A53" s="38" t="s">
        <v>99</v>
      </c>
      <c r="V53" s="48">
        <f t="shared" ref="V53:AD53" si="7">V52+V50+V48+V51+V49</f>
        <v>438981</v>
      </c>
      <c r="W53" s="48">
        <f t="shared" si="7"/>
        <v>195556</v>
      </c>
      <c r="X53" s="48">
        <f t="shared" si="7"/>
        <v>219675</v>
      </c>
      <c r="Y53" s="48">
        <f t="shared" si="7"/>
        <v>245726</v>
      </c>
      <c r="Z53" s="48">
        <f t="shared" si="7"/>
        <v>144963</v>
      </c>
      <c r="AA53" s="48">
        <f t="shared" si="7"/>
        <v>805920</v>
      </c>
      <c r="AB53" s="48">
        <f t="shared" si="7"/>
        <v>292916</v>
      </c>
      <c r="AC53" s="48">
        <f t="shared" si="7"/>
        <v>245395</v>
      </c>
      <c r="AD53" s="48">
        <f t="shared" si="7"/>
        <v>466958</v>
      </c>
      <c r="AE53" s="48">
        <f>AE52+AE50+AE48+AE51+AE49</f>
        <v>455694</v>
      </c>
      <c r="AF53" s="48">
        <f>AF52+AF50+AF48+AF51+AF49</f>
        <v>1460963</v>
      </c>
    </row>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4F839-27E3-40E3-B030-C339D15FFC26}">
  <sheetPr>
    <tabColor rgb="FFC00000"/>
  </sheetPr>
  <dimension ref="A2:AT285"/>
  <sheetViews>
    <sheetView showGridLines="0" zoomScale="85" zoomScaleNormal="85" workbookViewId="0">
      <selection activeCell="Q316" sqref="Q316"/>
    </sheetView>
  </sheetViews>
  <sheetFormatPr defaultRowHeight="14.4" x14ac:dyDescent="0.3"/>
  <cols>
    <col min="1" max="1" width="33.77734375" customWidth="1"/>
    <col min="2" max="2" width="7.88671875" customWidth="1"/>
    <col min="3" max="3" width="9.5546875" customWidth="1"/>
    <col min="4" max="12" width="6.88671875" customWidth="1"/>
  </cols>
  <sheetData>
    <row r="2" spans="1:7" x14ac:dyDescent="0.3">
      <c r="A2" s="113" t="s">
        <v>552</v>
      </c>
      <c r="B2" s="102">
        <v>2018</v>
      </c>
      <c r="C2" s="102">
        <v>2019</v>
      </c>
      <c r="D2" s="102">
        <v>2020</v>
      </c>
      <c r="E2" s="102">
        <v>2021</v>
      </c>
      <c r="F2" s="102">
        <v>2022</v>
      </c>
      <c r="G2" s="102">
        <v>2023</v>
      </c>
    </row>
    <row r="3" spans="1:7" x14ac:dyDescent="0.3">
      <c r="A3" s="107" t="s">
        <v>112</v>
      </c>
      <c r="B3" s="108">
        <v>1516180</v>
      </c>
      <c r="C3" s="108">
        <v>5489751</v>
      </c>
      <c r="D3" s="108">
        <v>6792833</v>
      </c>
      <c r="E3" s="108">
        <v>12221416</v>
      </c>
      <c r="F3" s="108">
        <v>20302520</v>
      </c>
      <c r="G3" s="108">
        <v>28310932</v>
      </c>
    </row>
    <row r="4" spans="1:7" x14ac:dyDescent="0.3">
      <c r="A4" s="109" t="s">
        <v>114</v>
      </c>
      <c r="B4" s="110">
        <v>1035616</v>
      </c>
      <c r="C4" s="110">
        <v>1513090</v>
      </c>
      <c r="D4" s="110">
        <v>1841415</v>
      </c>
      <c r="E4" s="110">
        <v>6106295</v>
      </c>
      <c r="F4" s="110">
        <v>10602627</v>
      </c>
      <c r="G4" s="110">
        <v>5294874</v>
      </c>
    </row>
    <row r="5" spans="1:7" x14ac:dyDescent="0.3">
      <c r="A5" s="103" t="s">
        <v>116</v>
      </c>
      <c r="B5" s="104">
        <v>186993</v>
      </c>
      <c r="C5" s="104">
        <v>459396</v>
      </c>
      <c r="D5" s="104">
        <v>809273</v>
      </c>
      <c r="E5" s="104">
        <v>970681</v>
      </c>
      <c r="F5" s="104">
        <v>9612961</v>
      </c>
      <c r="G5" s="104">
        <v>2335403</v>
      </c>
    </row>
    <row r="6" spans="1:7" x14ac:dyDescent="0.3">
      <c r="A6" s="105" t="s">
        <v>118</v>
      </c>
      <c r="B6" s="106">
        <v>607441</v>
      </c>
      <c r="C6" s="106">
        <v>226301</v>
      </c>
      <c r="D6" s="106">
        <v>22793</v>
      </c>
      <c r="E6" s="106">
        <v>3680185</v>
      </c>
      <c r="F6" s="106">
        <v>0</v>
      </c>
      <c r="G6" s="106">
        <v>0</v>
      </c>
    </row>
    <row r="7" spans="1:7" x14ac:dyDescent="0.3">
      <c r="A7" s="103" t="s">
        <v>120</v>
      </c>
      <c r="B7" s="104">
        <v>34932</v>
      </c>
      <c r="C7" s="104">
        <v>374598</v>
      </c>
      <c r="D7" s="104">
        <v>386165</v>
      </c>
      <c r="E7" s="104">
        <v>915033</v>
      </c>
      <c r="F7" s="104">
        <v>166304</v>
      </c>
      <c r="G7" s="104">
        <v>1743491</v>
      </c>
    </row>
    <row r="8" spans="1:7" x14ac:dyDescent="0.3">
      <c r="A8" s="105" t="s">
        <v>122</v>
      </c>
      <c r="B8" s="106">
        <v>58298</v>
      </c>
      <c r="C8" s="106">
        <v>125474</v>
      </c>
      <c r="D8" s="106">
        <v>194666</v>
      </c>
      <c r="E8" s="106">
        <v>217536</v>
      </c>
      <c r="F8" s="106">
        <v>0</v>
      </c>
      <c r="G8" s="106">
        <v>651651</v>
      </c>
    </row>
    <row r="9" spans="1:7" x14ac:dyDescent="0.3">
      <c r="A9" s="103" t="s">
        <v>128</v>
      </c>
      <c r="B9" s="104">
        <v>147952</v>
      </c>
      <c r="C9" s="104">
        <v>327321</v>
      </c>
      <c r="D9" s="104">
        <v>428518</v>
      </c>
      <c r="E9" s="104">
        <v>322860</v>
      </c>
      <c r="F9" s="104">
        <v>823362</v>
      </c>
      <c r="G9" s="104">
        <v>564329</v>
      </c>
    </row>
    <row r="10" spans="1:7" x14ac:dyDescent="0.3">
      <c r="A10" s="109" t="s">
        <v>130</v>
      </c>
      <c r="B10" s="110">
        <v>480564</v>
      </c>
      <c r="C10" s="110">
        <v>3976661</v>
      </c>
      <c r="D10" s="110">
        <v>4951418</v>
      </c>
      <c r="E10" s="110">
        <v>6115121</v>
      </c>
      <c r="F10" s="110">
        <v>9699893</v>
      </c>
      <c r="G10" s="110">
        <v>23016058</v>
      </c>
    </row>
    <row r="11" spans="1:7" x14ac:dyDescent="0.3">
      <c r="A11" s="103" t="s">
        <v>132</v>
      </c>
      <c r="B11" s="104">
        <v>69268</v>
      </c>
      <c r="C11" s="104">
        <v>232542</v>
      </c>
      <c r="D11" s="104">
        <v>265703</v>
      </c>
      <c r="E11" s="104">
        <v>397883</v>
      </c>
      <c r="F11" s="104">
        <v>729759</v>
      </c>
      <c r="G11" s="104">
        <v>631701</v>
      </c>
    </row>
    <row r="12" spans="1:7" x14ac:dyDescent="0.3">
      <c r="A12" s="105" t="s">
        <v>534</v>
      </c>
      <c r="B12" s="106">
        <v>0</v>
      </c>
      <c r="C12" s="106">
        <v>0</v>
      </c>
      <c r="D12" s="106">
        <v>0</v>
      </c>
      <c r="E12" s="106">
        <v>425867</v>
      </c>
      <c r="F12" s="106">
        <v>1470973</v>
      </c>
      <c r="G12" s="106">
        <v>2044361</v>
      </c>
    </row>
    <row r="13" spans="1:7" x14ac:dyDescent="0.3">
      <c r="A13" s="103" t="s">
        <v>135</v>
      </c>
      <c r="B13" s="104">
        <v>270347</v>
      </c>
      <c r="C13" s="104">
        <v>3054590</v>
      </c>
      <c r="D13" s="104">
        <v>3728849</v>
      </c>
      <c r="E13" s="104">
        <v>3549045</v>
      </c>
      <c r="F13" s="104">
        <v>4665206</v>
      </c>
      <c r="G13" s="104">
        <v>9425118</v>
      </c>
    </row>
    <row r="14" spans="1:7" x14ac:dyDescent="0.3">
      <c r="A14" s="105" t="s">
        <v>137</v>
      </c>
      <c r="B14" s="106">
        <v>140949</v>
      </c>
      <c r="C14" s="106">
        <v>689529</v>
      </c>
      <c r="D14" s="106">
        <v>956866</v>
      </c>
      <c r="E14" s="106">
        <v>1742326</v>
      </c>
      <c r="F14" s="106">
        <v>2833955</v>
      </c>
      <c r="G14" s="106">
        <v>10914878</v>
      </c>
    </row>
    <row r="16" spans="1:7" x14ac:dyDescent="0.3">
      <c r="A16" s="113" t="s">
        <v>552</v>
      </c>
      <c r="B16" s="102">
        <v>2018</v>
      </c>
      <c r="C16" s="102">
        <v>2019</v>
      </c>
      <c r="D16" s="102">
        <v>2020</v>
      </c>
      <c r="E16" s="102">
        <v>2021</v>
      </c>
      <c r="F16" s="102">
        <v>2022</v>
      </c>
      <c r="G16" s="102">
        <v>2023</v>
      </c>
    </row>
    <row r="17" spans="1:7" x14ac:dyDescent="0.3">
      <c r="A17" s="107" t="s">
        <v>140</v>
      </c>
      <c r="B17" s="108">
        <v>1516180</v>
      </c>
      <c r="C17" s="108">
        <v>5489751</v>
      </c>
      <c r="D17" s="108">
        <v>6792833</v>
      </c>
      <c r="E17" s="108">
        <v>12221416</v>
      </c>
      <c r="F17" s="108">
        <v>20302520</v>
      </c>
      <c r="G17" s="108">
        <v>28310932</v>
      </c>
    </row>
    <row r="18" spans="1:7" x14ac:dyDescent="0.3">
      <c r="A18" s="109" t="s">
        <v>142</v>
      </c>
      <c r="B18" s="110">
        <v>370986</v>
      </c>
      <c r="C18" s="110">
        <v>1669783</v>
      </c>
      <c r="D18" s="110">
        <v>2149449</v>
      </c>
      <c r="E18" s="110">
        <v>1085997</v>
      </c>
      <c r="F18" s="110">
        <v>1387739</v>
      </c>
      <c r="G18" s="110">
        <v>3463811</v>
      </c>
    </row>
    <row r="19" spans="1:7" x14ac:dyDescent="0.3">
      <c r="A19" s="103" t="s">
        <v>146</v>
      </c>
      <c r="B19" s="104">
        <v>73258</v>
      </c>
      <c r="C19" s="104">
        <v>87232</v>
      </c>
      <c r="D19" s="104">
        <v>236889</v>
      </c>
      <c r="E19" s="104">
        <v>292204</v>
      </c>
      <c r="F19" s="104">
        <v>565926</v>
      </c>
      <c r="G19" s="104">
        <v>834778</v>
      </c>
    </row>
    <row r="20" spans="1:7" x14ac:dyDescent="0.3">
      <c r="A20" s="105" t="s">
        <v>150</v>
      </c>
      <c r="B20" s="106">
        <v>222743</v>
      </c>
      <c r="C20" s="106">
        <v>1447355</v>
      </c>
      <c r="D20" s="106">
        <v>1772611</v>
      </c>
      <c r="E20" s="106">
        <v>553</v>
      </c>
      <c r="F20" s="106">
        <v>433772</v>
      </c>
      <c r="G20" s="106">
        <v>1252062</v>
      </c>
    </row>
    <row r="21" spans="1:7" x14ac:dyDescent="0.3">
      <c r="A21" s="103" t="s">
        <v>535</v>
      </c>
      <c r="B21" s="104" t="s">
        <v>620</v>
      </c>
      <c r="C21" s="104" t="s">
        <v>620</v>
      </c>
      <c r="D21" s="104" t="s">
        <v>620</v>
      </c>
      <c r="E21" s="104">
        <v>105905</v>
      </c>
      <c r="F21" s="104">
        <v>64547</v>
      </c>
      <c r="G21" s="104">
        <v>224502</v>
      </c>
    </row>
    <row r="22" spans="1:7" x14ac:dyDescent="0.3">
      <c r="A22" s="105" t="s">
        <v>152</v>
      </c>
      <c r="B22" s="106">
        <v>74985</v>
      </c>
      <c r="C22" s="106">
        <v>135196</v>
      </c>
      <c r="D22" s="106">
        <v>139949</v>
      </c>
      <c r="E22" s="106">
        <v>687335</v>
      </c>
      <c r="F22" s="106">
        <v>323494</v>
      </c>
      <c r="G22" s="106">
        <v>1152469</v>
      </c>
    </row>
    <row r="23" spans="1:7" x14ac:dyDescent="0.3">
      <c r="A23" s="109" t="s">
        <v>157</v>
      </c>
      <c r="B23" s="108">
        <v>163020</v>
      </c>
      <c r="C23" s="108">
        <v>1654867</v>
      </c>
      <c r="D23" s="108">
        <v>1492121</v>
      </c>
      <c r="E23" s="108">
        <v>4515170</v>
      </c>
      <c r="F23" s="108">
        <v>9022764</v>
      </c>
      <c r="G23" s="108">
        <v>10968841</v>
      </c>
    </row>
    <row r="24" spans="1:7" x14ac:dyDescent="0.3">
      <c r="A24" s="105" t="s">
        <v>150</v>
      </c>
      <c r="B24" s="106">
        <v>95084</v>
      </c>
      <c r="C24" s="106">
        <v>810703</v>
      </c>
      <c r="D24" s="106">
        <v>763208</v>
      </c>
      <c r="E24" s="106">
        <v>3307368</v>
      </c>
      <c r="F24" s="106">
        <v>7287626</v>
      </c>
      <c r="G24" s="106">
        <v>6141102</v>
      </c>
    </row>
    <row r="25" spans="1:7" x14ac:dyDescent="0.3">
      <c r="A25" s="103" t="s">
        <v>535</v>
      </c>
      <c r="B25" s="104" t="s">
        <v>620</v>
      </c>
      <c r="C25" s="104" t="s">
        <v>620</v>
      </c>
      <c r="D25" s="104" t="s">
        <v>620</v>
      </c>
      <c r="E25" s="104">
        <v>487467</v>
      </c>
      <c r="F25" s="104">
        <v>1436811</v>
      </c>
      <c r="G25" s="104">
        <v>1936736</v>
      </c>
    </row>
    <row r="26" spans="1:7" x14ac:dyDescent="0.3">
      <c r="A26" s="105" t="s">
        <v>152</v>
      </c>
      <c r="B26" s="106">
        <v>67936</v>
      </c>
      <c r="C26" s="106">
        <v>844164</v>
      </c>
      <c r="D26" s="106">
        <v>728913</v>
      </c>
      <c r="E26" s="106">
        <v>720335</v>
      </c>
      <c r="F26" s="106">
        <v>298327</v>
      </c>
      <c r="G26" s="106">
        <v>2891003</v>
      </c>
    </row>
    <row r="27" spans="1:7" x14ac:dyDescent="0.3">
      <c r="A27" s="107" t="s">
        <v>176</v>
      </c>
      <c r="B27" s="108">
        <v>982174</v>
      </c>
      <c r="C27" s="108">
        <v>2165101</v>
      </c>
      <c r="D27" s="108">
        <v>3151263</v>
      </c>
      <c r="E27" s="108">
        <v>6620249</v>
      </c>
      <c r="F27" s="108">
        <v>9892017</v>
      </c>
      <c r="G27" s="108">
        <v>13878280</v>
      </c>
    </row>
    <row r="29" spans="1:7" x14ac:dyDescent="0.3">
      <c r="A29" s="113" t="s">
        <v>553</v>
      </c>
      <c r="B29" s="102">
        <v>2018</v>
      </c>
      <c r="C29" s="102">
        <v>2019</v>
      </c>
      <c r="D29" s="102">
        <v>2020</v>
      </c>
      <c r="E29" s="102">
        <v>2021</v>
      </c>
      <c r="F29" s="102">
        <v>2022</v>
      </c>
      <c r="G29" s="102">
        <v>2023</v>
      </c>
    </row>
    <row r="30" spans="1:7" ht="26.4" x14ac:dyDescent="0.3">
      <c r="A30" s="107" t="s">
        <v>179</v>
      </c>
      <c r="B30" s="108">
        <v>848920</v>
      </c>
      <c r="C30" s="108">
        <v>1644346</v>
      </c>
      <c r="D30" s="108">
        <v>1904185</v>
      </c>
      <c r="E30" s="108">
        <v>4396003</v>
      </c>
      <c r="F30" s="108">
        <v>6363475</v>
      </c>
      <c r="G30" s="108">
        <v>11905041</v>
      </c>
    </row>
    <row r="31" spans="1:7" x14ac:dyDescent="0.3">
      <c r="A31" s="105" t="s">
        <v>180</v>
      </c>
      <c r="B31" s="106">
        <v>-524489</v>
      </c>
      <c r="C31" s="106">
        <v>-940379</v>
      </c>
      <c r="D31" s="106">
        <v>-1286926</v>
      </c>
      <c r="E31" s="106">
        <v>-1883358</v>
      </c>
      <c r="F31" s="106">
        <v>-2106303</v>
      </c>
      <c r="G31" s="106">
        <v>-4246137</v>
      </c>
    </row>
    <row r="32" spans="1:7" x14ac:dyDescent="0.3">
      <c r="A32" s="111" t="s">
        <v>513</v>
      </c>
      <c r="B32" s="104" t="s">
        <v>620</v>
      </c>
      <c r="C32" s="104" t="s">
        <v>620</v>
      </c>
      <c r="D32" s="104" t="s">
        <v>620</v>
      </c>
      <c r="E32" s="104">
        <v>-791968</v>
      </c>
      <c r="F32" s="104">
        <v>-866189</v>
      </c>
      <c r="G32" s="104">
        <v>-1194128</v>
      </c>
    </row>
    <row r="33" spans="1:44" x14ac:dyDescent="0.3">
      <c r="A33" s="112" t="s">
        <v>290</v>
      </c>
      <c r="B33" s="106">
        <v>-70132</v>
      </c>
      <c r="C33" s="106">
        <v>-382878</v>
      </c>
      <c r="D33" s="106">
        <v>-650284</v>
      </c>
      <c r="E33" s="106">
        <v>-770298</v>
      </c>
      <c r="F33" s="106">
        <v>-741729</v>
      </c>
      <c r="G33" s="106">
        <v>-1917395</v>
      </c>
    </row>
    <row r="34" spans="1:44" x14ac:dyDescent="0.3">
      <c r="A34" s="111" t="s">
        <v>379</v>
      </c>
      <c r="B34" s="104" t="s">
        <v>620</v>
      </c>
      <c r="C34" s="104" t="s">
        <v>620</v>
      </c>
      <c r="D34" s="104" t="s">
        <v>620</v>
      </c>
      <c r="E34" s="104">
        <v>-321092</v>
      </c>
      <c r="F34" s="104">
        <v>-498385</v>
      </c>
      <c r="G34" s="104">
        <v>-1134614</v>
      </c>
    </row>
    <row r="35" spans="1:44" x14ac:dyDescent="0.3">
      <c r="A35" s="109" t="s">
        <v>181</v>
      </c>
      <c r="B35" s="110">
        <v>324431</v>
      </c>
      <c r="C35" s="110">
        <v>703967</v>
      </c>
      <c r="D35" s="110">
        <v>617259</v>
      </c>
      <c r="E35" s="110">
        <v>2512645</v>
      </c>
      <c r="F35" s="110">
        <v>4257172</v>
      </c>
      <c r="G35" s="110">
        <v>7658904</v>
      </c>
    </row>
    <row r="36" spans="1:44" x14ac:dyDescent="0.3">
      <c r="A36" s="103" t="s">
        <v>182</v>
      </c>
      <c r="B36" s="104">
        <v>-216929</v>
      </c>
      <c r="C36" s="104">
        <v>174289</v>
      </c>
      <c r="D36" s="104">
        <v>325490</v>
      </c>
      <c r="E36" s="104">
        <v>-391202</v>
      </c>
      <c r="F36" s="104">
        <v>-340959</v>
      </c>
      <c r="G36" s="104">
        <v>-503042</v>
      </c>
    </row>
    <row r="37" spans="1:44" x14ac:dyDescent="0.3">
      <c r="A37" s="111" t="s">
        <v>184</v>
      </c>
      <c r="B37" s="104">
        <v>-197084</v>
      </c>
      <c r="C37" s="104">
        <v>-245716</v>
      </c>
      <c r="D37" s="104">
        <v>-337947</v>
      </c>
      <c r="E37" s="104">
        <v>-315640</v>
      </c>
      <c r="F37" s="104">
        <v>-367529</v>
      </c>
      <c r="G37" s="104">
        <v>-567393</v>
      </c>
    </row>
    <row r="38" spans="1:44" x14ac:dyDescent="0.3">
      <c r="A38" s="112" t="s">
        <v>641</v>
      </c>
      <c r="B38" s="106">
        <f t="shared" ref="B38:G38" si="0">-(-B36+B37)</f>
        <v>-19845</v>
      </c>
      <c r="C38" s="106">
        <f t="shared" si="0"/>
        <v>420005</v>
      </c>
      <c r="D38" s="106">
        <f t="shared" si="0"/>
        <v>663437</v>
      </c>
      <c r="E38" s="106">
        <f t="shared" si="0"/>
        <v>-75562</v>
      </c>
      <c r="F38" s="106">
        <f t="shared" si="0"/>
        <v>26570</v>
      </c>
      <c r="G38" s="106">
        <f t="shared" si="0"/>
        <v>64351</v>
      </c>
    </row>
    <row r="39" spans="1:44" x14ac:dyDescent="0.3">
      <c r="A39" s="144" t="s">
        <v>194</v>
      </c>
      <c r="B39" s="108">
        <v>107502</v>
      </c>
      <c r="C39" s="108">
        <v>878256</v>
      </c>
      <c r="D39" s="108">
        <v>942749</v>
      </c>
      <c r="E39" s="108">
        <v>2121443</v>
      </c>
      <c r="F39" s="108">
        <v>3916213</v>
      </c>
      <c r="G39" s="108">
        <v>7155862</v>
      </c>
    </row>
    <row r="40" spans="1:44" x14ac:dyDescent="0.3">
      <c r="A40" s="105" t="s">
        <v>98</v>
      </c>
      <c r="B40" s="106">
        <v>50870</v>
      </c>
      <c r="C40" s="106">
        <v>-337254</v>
      </c>
      <c r="D40" s="106">
        <v>-458669</v>
      </c>
      <c r="E40" s="106">
        <v>-622322</v>
      </c>
      <c r="F40" s="106">
        <v>-254393</v>
      </c>
      <c r="G40" s="106">
        <v>-1051190</v>
      </c>
    </row>
    <row r="41" spans="1:44" x14ac:dyDescent="0.3">
      <c r="A41" s="144" t="s">
        <v>197</v>
      </c>
      <c r="B41" s="108">
        <v>158372</v>
      </c>
      <c r="C41" s="108">
        <v>541002</v>
      </c>
      <c r="D41" s="108">
        <v>484080</v>
      </c>
      <c r="E41" s="108">
        <v>1499121</v>
      </c>
      <c r="F41" s="108">
        <v>3661820</v>
      </c>
      <c r="G41" s="108">
        <v>6104672</v>
      </c>
    </row>
    <row r="42" spans="1:44" x14ac:dyDescent="0.3">
      <c r="A42" s="145" t="s">
        <v>198</v>
      </c>
      <c r="B42" s="106">
        <v>-31189</v>
      </c>
      <c r="C42" s="106">
        <v>301344</v>
      </c>
      <c r="D42" s="106">
        <v>-31167</v>
      </c>
      <c r="E42" s="106">
        <v>-166075</v>
      </c>
      <c r="F42" s="106">
        <v>-234748</v>
      </c>
      <c r="G42" s="106">
        <v>-924767</v>
      </c>
    </row>
    <row r="43" spans="1:44" x14ac:dyDescent="0.3">
      <c r="A43" s="144" t="s">
        <v>205</v>
      </c>
      <c r="B43" s="108">
        <v>127183</v>
      </c>
      <c r="C43" s="108">
        <v>842346</v>
      </c>
      <c r="D43" s="108">
        <v>452913</v>
      </c>
      <c r="E43" s="108">
        <v>1333046</v>
      </c>
      <c r="F43" s="108">
        <v>3427072</v>
      </c>
      <c r="G43" s="108">
        <v>5179905</v>
      </c>
    </row>
    <row r="44" spans="1:44" x14ac:dyDescent="0.3">
      <c r="B44" s="16"/>
      <c r="C44" s="16"/>
      <c r="D44" s="16"/>
      <c r="E44" s="16"/>
      <c r="F44" s="16"/>
      <c r="G44" s="16"/>
    </row>
    <row r="46" spans="1:44" x14ac:dyDescent="0.3">
      <c r="B46" s="115">
        <f>'Receita Líquida - O&amp;G'!AG1</f>
        <v>2024</v>
      </c>
      <c r="C46" s="115">
        <f>'Receita Líquida - O&amp;G'!AH1</f>
        <v>2025</v>
      </c>
      <c r="D46" s="115">
        <f>'Receita Líquida - O&amp;G'!AI1</f>
        <v>2026</v>
      </c>
      <c r="E46" s="115">
        <f>'Receita Líquida - O&amp;G'!AJ1</f>
        <v>2027</v>
      </c>
      <c r="F46" s="115">
        <f>'Receita Líquida - O&amp;G'!AK1</f>
        <v>2028</v>
      </c>
      <c r="G46" s="115">
        <f>'Receita Líquida - O&amp;G'!AL1</f>
        <v>2029</v>
      </c>
      <c r="H46" s="115">
        <f>'Receita Líquida - O&amp;G'!AM1</f>
        <v>2030</v>
      </c>
      <c r="I46" s="115">
        <f>'Receita Líquida - O&amp;G'!AN1</f>
        <v>2031</v>
      </c>
      <c r="J46" s="115">
        <f>'Receita Líquida - O&amp;G'!AO1</f>
        <v>2032</v>
      </c>
      <c r="K46" s="115">
        <f>'Receita Líquida - O&amp;G'!AP1</f>
        <v>2033</v>
      </c>
      <c r="L46" s="115">
        <f>'Receita Líquida - O&amp;G'!AQ1</f>
        <v>2034</v>
      </c>
      <c r="M46" s="115">
        <f>'Receita Líquida - O&amp;G'!AR1</f>
        <v>2035</v>
      </c>
      <c r="N46" s="115">
        <f>'Receita Líquida - O&amp;G'!AS1</f>
        <v>2036</v>
      </c>
      <c r="O46" s="115">
        <f>'Receita Líquida - O&amp;G'!AT1</f>
        <v>2037</v>
      </c>
      <c r="P46" s="115">
        <f>'Receita Líquida - O&amp;G'!AU1</f>
        <v>2038</v>
      </c>
      <c r="Q46" s="115">
        <f>'Receita Líquida - O&amp;G'!AV1</f>
        <v>2039</v>
      </c>
      <c r="R46" s="115">
        <f>'Receita Líquida - O&amp;G'!AW1</f>
        <v>2040</v>
      </c>
      <c r="S46" s="115">
        <f>'Receita Líquida - O&amp;G'!AX1</f>
        <v>2041</v>
      </c>
      <c r="T46" s="115">
        <f>'Receita Líquida - O&amp;G'!AY1</f>
        <v>2042</v>
      </c>
      <c r="U46" s="115">
        <f>'Receita Líquida - O&amp;G'!AZ1</f>
        <v>2043</v>
      </c>
      <c r="V46" s="115">
        <f>'Receita Líquida - O&amp;G'!BA1</f>
        <v>2044</v>
      </c>
      <c r="W46" s="115">
        <f>'Receita Líquida - O&amp;G'!BB1</f>
        <v>2045</v>
      </c>
      <c r="X46" s="115">
        <f>'Receita Líquida - O&amp;G'!BC1</f>
        <v>2046</v>
      </c>
      <c r="Y46" s="115">
        <f>'Receita Líquida - O&amp;G'!BD1</f>
        <v>2047</v>
      </c>
      <c r="Z46" s="115">
        <f>'Receita Líquida - O&amp;G'!BE1</f>
        <v>2048</v>
      </c>
      <c r="AA46" s="115">
        <f>'Receita Líquida - O&amp;G'!BF1</f>
        <v>2049</v>
      </c>
      <c r="AB46" s="115">
        <f>'Receita Líquida - O&amp;G'!BG1</f>
        <v>2050</v>
      </c>
      <c r="AC46" s="115">
        <f>'Receita Líquida - O&amp;G'!BH1</f>
        <v>2051</v>
      </c>
      <c r="AD46" s="115">
        <f>'Receita Líquida - O&amp;G'!BI1</f>
        <v>2052</v>
      </c>
      <c r="AE46" s="115">
        <f>'Receita Líquida - O&amp;G'!BJ1</f>
        <v>2053</v>
      </c>
      <c r="AF46" s="115">
        <f>'Receita Líquida - O&amp;G'!BK1</f>
        <v>2054</v>
      </c>
      <c r="AG46" s="115">
        <f>'Receita Líquida - O&amp;G'!BL1</f>
        <v>2055</v>
      </c>
      <c r="AH46" s="115">
        <f>'Receita Líquida - O&amp;G'!BM1</f>
        <v>2056</v>
      </c>
      <c r="AI46" s="115">
        <f>'Receita Líquida - O&amp;G'!BN1</f>
        <v>2057</v>
      </c>
      <c r="AJ46" s="115">
        <f>'Receita Líquida - O&amp;G'!BO1</f>
        <v>2058</v>
      </c>
      <c r="AK46" s="115">
        <f>'Receita Líquida - O&amp;G'!BP1</f>
        <v>2059</v>
      </c>
      <c r="AL46" s="115">
        <f>'Receita Líquida - O&amp;G'!BQ1</f>
        <v>2060</v>
      </c>
      <c r="AM46" s="115">
        <f>'Receita Líquida - O&amp;G'!BR1</f>
        <v>2061</v>
      </c>
      <c r="AN46" s="115">
        <f>'Receita Líquida - O&amp;G'!BS1</f>
        <v>2062</v>
      </c>
      <c r="AO46" s="115">
        <f>'Receita Líquida - O&amp;G'!BT1</f>
        <v>2063</v>
      </c>
      <c r="AP46" s="115">
        <f>'Receita Líquida - O&amp;G'!BU1</f>
        <v>2064</v>
      </c>
      <c r="AQ46" s="115">
        <f>'Receita Líquida - O&amp;G'!BV1</f>
        <v>2065</v>
      </c>
      <c r="AR46" s="115">
        <f>'Receita Líquida - O&amp;G'!BW1</f>
        <v>2066</v>
      </c>
    </row>
    <row r="47" spans="1:44" x14ac:dyDescent="0.3">
      <c r="A47" s="82" t="s">
        <v>556</v>
      </c>
      <c r="B47">
        <v>38312</v>
      </c>
      <c r="C47">
        <v>45712</v>
      </c>
      <c r="D47">
        <v>46845</v>
      </c>
      <c r="E47">
        <v>47715</v>
      </c>
      <c r="F47">
        <v>45380</v>
      </c>
      <c r="G47">
        <v>44900</v>
      </c>
      <c r="H47">
        <v>40749</v>
      </c>
      <c r="I47">
        <v>34538</v>
      </c>
      <c r="J47">
        <v>29553</v>
      </c>
      <c r="K47">
        <v>25265</v>
      </c>
      <c r="L47">
        <v>21562</v>
      </c>
      <c r="M47">
        <v>17236</v>
      </c>
      <c r="N47">
        <v>14875</v>
      </c>
      <c r="O47">
        <v>12760</v>
      </c>
      <c r="P47">
        <v>11129</v>
      </c>
      <c r="Q47">
        <v>9555</v>
      </c>
      <c r="R47">
        <v>8126</v>
      </c>
      <c r="S47">
        <v>7225</v>
      </c>
      <c r="T47">
        <v>6378</v>
      </c>
      <c r="U47">
        <v>5708</v>
      </c>
      <c r="V47">
        <v>5113</v>
      </c>
      <c r="W47">
        <v>4513</v>
      </c>
      <c r="X47">
        <v>3959</v>
      </c>
      <c r="Y47">
        <v>2160</v>
      </c>
      <c r="Z47">
        <v>1980</v>
      </c>
      <c r="AA47">
        <v>1725</v>
      </c>
      <c r="AB47">
        <v>1566</v>
      </c>
      <c r="AC47">
        <v>1406</v>
      </c>
      <c r="AD47">
        <v>1150</v>
      </c>
      <c r="AE47">
        <v>0</v>
      </c>
      <c r="AF47">
        <v>0</v>
      </c>
      <c r="AG47">
        <v>0</v>
      </c>
      <c r="AH47">
        <v>0</v>
      </c>
      <c r="AI47">
        <v>0</v>
      </c>
      <c r="AJ47">
        <v>0</v>
      </c>
      <c r="AK47">
        <v>0</v>
      </c>
      <c r="AL47">
        <v>0</v>
      </c>
      <c r="AM47">
        <v>0</v>
      </c>
      <c r="AN47">
        <v>0</v>
      </c>
      <c r="AO47">
        <v>0</v>
      </c>
      <c r="AP47">
        <v>0</v>
      </c>
      <c r="AQ47">
        <v>0</v>
      </c>
    </row>
    <row r="48" spans="1:44" x14ac:dyDescent="0.3">
      <c r="A48" s="82" t="s">
        <v>557</v>
      </c>
      <c r="B48">
        <f ca="1">INDEX('Receita Líquida - O&amp;G'!$7:$7,MATCH(B$51,'Receita Líquida - O&amp;G'!$1:$1,0))</f>
        <v>41329</v>
      </c>
      <c r="C48">
        <f ca="1">INDEX('Receita Líquida - O&amp;G'!$7:$7,MATCH(C$51,'Receita Líquida - O&amp;G'!$1:$1,0))</f>
        <v>54228</v>
      </c>
      <c r="D48">
        <f ca="1">INDEX('Receita Líquida - O&amp;G'!$7:$7,MATCH(D$51,'Receita Líquida - O&amp;G'!$1:$1,0))</f>
        <v>57788</v>
      </c>
      <c r="E48">
        <f ca="1">INDEX('Receita Líquida - O&amp;G'!$7:$7,MATCH(E$51,'Receita Líquida - O&amp;G'!$1:$1,0))</f>
        <v>60808</v>
      </c>
      <c r="F48">
        <f ca="1">INDEX('Receita Líquida - O&amp;G'!$7:$7,MATCH(F$51,'Receita Líquida - O&amp;G'!$1:$1,0))</f>
        <v>59713</v>
      </c>
      <c r="G48">
        <f ca="1">INDEX('Receita Líquida - O&amp;G'!$7:$7,MATCH(G$51,'Receita Líquida - O&amp;G'!$1:$1,0))</f>
        <v>60129</v>
      </c>
      <c r="H48">
        <f ca="1">INDEX('Receita Líquida - O&amp;G'!$7:$7,MATCH(H$51,'Receita Líquida - O&amp;G'!$1:$1,0))</f>
        <v>54435</v>
      </c>
      <c r="I48">
        <f ca="1">INDEX('Receita Líquida - O&amp;G'!$7:$7,MATCH(I$51,'Receita Líquida - O&amp;G'!$1:$1,0))</f>
        <v>46226</v>
      </c>
      <c r="J48">
        <f ca="1">INDEX('Receita Líquida - O&amp;G'!$7:$7,MATCH(J$51,'Receita Líquida - O&amp;G'!$1:$1,0))</f>
        <v>40054</v>
      </c>
      <c r="K48">
        <f ca="1">INDEX('Receita Líquida - O&amp;G'!$7:$7,MATCH(K$51,'Receita Líquida - O&amp;G'!$1:$1,0))</f>
        <v>35040</v>
      </c>
      <c r="L48">
        <f ca="1">INDEX('Receita Líquida - O&amp;G'!$7:$7,MATCH(L$51,'Receita Líquida - O&amp;G'!$1:$1,0))</f>
        <v>30882</v>
      </c>
      <c r="M48">
        <f ca="1">INDEX('Receita Líquida - O&amp;G'!$7:$7,MATCH(M$51,'Receita Líquida - O&amp;G'!$1:$1,0))</f>
        <v>26878</v>
      </c>
      <c r="N48">
        <f ca="1">INDEX('Receita Líquida - O&amp;G'!$7:$7,MATCH(N$51,'Receita Líquida - O&amp;G'!$1:$1,0))</f>
        <v>23064</v>
      </c>
      <c r="O48">
        <f ca="1">INDEX('Receita Líquida - O&amp;G'!$7:$7,MATCH(O$51,'Receita Líquida - O&amp;G'!$1:$1,0))</f>
        <v>19874</v>
      </c>
      <c r="P48">
        <f ca="1">INDEX('Receita Líquida - O&amp;G'!$7:$7,MATCH(P$51,'Receita Líquida - O&amp;G'!$1:$1,0))</f>
        <v>17538</v>
      </c>
      <c r="Q48">
        <f ca="1">INDEX('Receita Líquida - O&amp;G'!$7:$7,MATCH(Q$51,'Receita Líquida - O&amp;G'!$1:$1,0))</f>
        <v>15635</v>
      </c>
      <c r="R48">
        <f ca="1">INDEX('Receita Líquida - O&amp;G'!$7:$7,MATCH(R$51,'Receita Líquida - O&amp;G'!$1:$1,0))</f>
        <v>12344</v>
      </c>
      <c r="S48">
        <f ca="1">INDEX('Receita Líquida - O&amp;G'!$7:$7,MATCH(S$51,'Receita Líquida - O&amp;G'!$1:$1,0))</f>
        <v>10815</v>
      </c>
      <c r="T48">
        <f ca="1">INDEX('Receita Líquida - O&amp;G'!$7:$7,MATCH(T$51,'Receita Líquida - O&amp;G'!$1:$1,0))</f>
        <v>9503</v>
      </c>
      <c r="U48">
        <f ca="1">INDEX('Receita Líquida - O&amp;G'!$7:$7,MATCH(U$51,'Receita Líquida - O&amp;G'!$1:$1,0))</f>
        <v>8310</v>
      </c>
      <c r="V48">
        <f ca="1">INDEX('Receita Líquida - O&amp;G'!$7:$7,MATCH(V$51,'Receita Líquida - O&amp;G'!$1:$1,0))</f>
        <v>7380</v>
      </c>
      <c r="W48">
        <f ca="1">INDEX('Receita Líquida - O&amp;G'!$7:$7,MATCH(W$51,'Receita Líquida - O&amp;G'!$1:$1,0))</f>
        <v>6410</v>
      </c>
      <c r="X48">
        <f ca="1">INDEX('Receita Líquida - O&amp;G'!$7:$7,MATCH(X$51,'Receita Líquida - O&amp;G'!$1:$1,0))</f>
        <v>5809</v>
      </c>
      <c r="Y48">
        <f ca="1">INDEX('Receita Líquida - O&amp;G'!$7:$7,MATCH(Y$51,'Receita Líquida - O&amp;G'!$1:$1,0))</f>
        <v>5326</v>
      </c>
      <c r="Z48">
        <f ca="1">INDEX('Receita Líquida - O&amp;G'!$7:$7,MATCH(Z$51,'Receita Líquida - O&amp;G'!$1:$1,0))</f>
        <v>4915</v>
      </c>
      <c r="AA48">
        <f ca="1">INDEX('Receita Líquida - O&amp;G'!$7:$7,MATCH(AA$51,'Receita Líquida - O&amp;G'!$1:$1,0))</f>
        <v>4307</v>
      </c>
      <c r="AB48">
        <f ca="1">INDEX('Receita Líquida - O&amp;G'!$7:$7,MATCH(AB$51,'Receita Líquida - O&amp;G'!$1:$1,0))</f>
        <v>3925</v>
      </c>
      <c r="AC48">
        <f ca="1">INDEX('Receita Líquida - O&amp;G'!$7:$7,MATCH(AC$51,'Receita Líquida - O&amp;G'!$1:$1,0))</f>
        <v>3653</v>
      </c>
      <c r="AD48">
        <f ca="1">INDEX('Receita Líquida - O&amp;G'!$7:$7,MATCH(AD$51,'Receita Líquida - O&amp;G'!$1:$1,0))</f>
        <v>2290</v>
      </c>
      <c r="AE48">
        <f ca="1">INDEX('Receita Líquida - O&amp;G'!$7:$7,MATCH(AE$51,'Receita Líquida - O&amp;G'!$1:$1,0))</f>
        <v>0</v>
      </c>
      <c r="AF48">
        <f ca="1">INDEX('Receita Líquida - O&amp;G'!$7:$7,MATCH(AF$51,'Receita Líquida - O&amp;G'!$1:$1,0))</f>
        <v>0</v>
      </c>
      <c r="AG48">
        <f ca="1">INDEX('Receita Líquida - O&amp;G'!$7:$7,MATCH(AG$51,'Receita Líquida - O&amp;G'!$1:$1,0))</f>
        <v>0</v>
      </c>
      <c r="AH48">
        <f ca="1">INDEX('Receita Líquida - O&amp;G'!$7:$7,MATCH(AH$51,'Receita Líquida - O&amp;G'!$1:$1,0))</f>
        <v>0</v>
      </c>
      <c r="AI48">
        <f ca="1">INDEX('Receita Líquida - O&amp;G'!$7:$7,MATCH(AI$51,'Receita Líquida - O&amp;G'!$1:$1,0))</f>
        <v>0</v>
      </c>
      <c r="AJ48">
        <f ca="1">INDEX('Receita Líquida - O&amp;G'!$7:$7,MATCH(AJ$51,'Receita Líquida - O&amp;G'!$1:$1,0))</f>
        <v>0</v>
      </c>
      <c r="AK48">
        <f ca="1">INDEX('Receita Líquida - O&amp;G'!$7:$7,MATCH(AK$51,'Receita Líquida - O&amp;G'!$1:$1,0))</f>
        <v>0</v>
      </c>
      <c r="AL48">
        <f ca="1">INDEX('Receita Líquida - O&amp;G'!$7:$7,MATCH(AL$51,'Receita Líquida - O&amp;G'!$1:$1,0))</f>
        <v>0</v>
      </c>
      <c r="AM48">
        <f ca="1">INDEX('Receita Líquida - O&amp;G'!$7:$7,MATCH(AM$51,'Receita Líquida - O&amp;G'!$1:$1,0))</f>
        <v>0</v>
      </c>
      <c r="AN48">
        <f ca="1">INDEX('Receita Líquida - O&amp;G'!$7:$7,MATCH(AN$51,'Receita Líquida - O&amp;G'!$1:$1,0))</f>
        <v>0</v>
      </c>
      <c r="AO48">
        <f ca="1">INDEX('Receita Líquida - O&amp;G'!$7:$7,MATCH(AO$51,'Receita Líquida - O&amp;G'!$1:$1,0))</f>
        <v>0</v>
      </c>
      <c r="AP48">
        <f ca="1">INDEX('Receita Líquida - O&amp;G'!$7:$7,MATCH(AP$51,'Receita Líquida - O&amp;G'!$1:$1,0))</f>
        <v>0</v>
      </c>
      <c r="AQ48">
        <f ca="1">INDEX('Receita Líquida - O&amp;G'!$7:$7,MATCH(AQ$51,'Receita Líquida - O&amp;G'!$1:$1,0))</f>
        <v>0</v>
      </c>
      <c r="AR48">
        <v>1302</v>
      </c>
    </row>
    <row r="49" spans="1:44" x14ac:dyDescent="0.3">
      <c r="A49" s="82" t="s">
        <v>558</v>
      </c>
      <c r="B49">
        <v>43669</v>
      </c>
      <c r="C49">
        <v>59843</v>
      </c>
      <c r="D49">
        <v>65646</v>
      </c>
      <c r="E49">
        <v>70291</v>
      </c>
      <c r="F49">
        <v>67927</v>
      </c>
      <c r="G49">
        <v>69074</v>
      </c>
      <c r="H49">
        <v>64825</v>
      </c>
      <c r="I49">
        <v>55514</v>
      </c>
      <c r="J49">
        <v>48619</v>
      </c>
      <c r="K49">
        <v>42960</v>
      </c>
      <c r="L49">
        <v>38290</v>
      </c>
      <c r="M49">
        <v>34367</v>
      </c>
      <c r="N49">
        <v>30925</v>
      </c>
      <c r="O49">
        <v>27809</v>
      </c>
      <c r="P49">
        <v>24794</v>
      </c>
      <c r="Q49">
        <v>22185</v>
      </c>
      <c r="R49">
        <v>20209</v>
      </c>
      <c r="S49">
        <v>18462</v>
      </c>
      <c r="T49">
        <v>16735</v>
      </c>
      <c r="U49">
        <v>14954</v>
      </c>
      <c r="V49">
        <v>13455</v>
      </c>
      <c r="W49">
        <v>12406</v>
      </c>
      <c r="X49">
        <v>11326</v>
      </c>
      <c r="Y49">
        <v>10576</v>
      </c>
      <c r="Z49">
        <v>9867</v>
      </c>
      <c r="AA49">
        <v>7588</v>
      </c>
      <c r="AB49">
        <v>7165</v>
      </c>
      <c r="AC49">
        <v>6748</v>
      </c>
      <c r="AD49">
        <v>4327</v>
      </c>
      <c r="AE49">
        <v>1117</v>
      </c>
      <c r="AF49">
        <v>1046</v>
      </c>
      <c r="AG49">
        <v>0</v>
      </c>
      <c r="AH49">
        <v>0</v>
      </c>
      <c r="AI49">
        <v>0</v>
      </c>
      <c r="AJ49">
        <v>0</v>
      </c>
      <c r="AK49">
        <v>0</v>
      </c>
      <c r="AL49">
        <v>0</v>
      </c>
      <c r="AM49">
        <v>0</v>
      </c>
      <c r="AN49">
        <v>0</v>
      </c>
      <c r="AO49">
        <v>0</v>
      </c>
      <c r="AP49">
        <v>0</v>
      </c>
      <c r="AQ49">
        <v>0</v>
      </c>
      <c r="AR49">
        <v>1302</v>
      </c>
    </row>
    <row r="50" spans="1:44" x14ac:dyDescent="0.3">
      <c r="A50" s="82"/>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114"/>
      <c r="AI50" s="114"/>
      <c r="AJ50" s="114"/>
      <c r="AK50" s="114"/>
      <c r="AL50" s="114"/>
      <c r="AM50" s="114"/>
      <c r="AN50" s="114"/>
      <c r="AO50" s="114"/>
      <c r="AP50" s="114"/>
      <c r="AQ50" s="114"/>
    </row>
    <row r="51" spans="1:44" x14ac:dyDescent="0.3">
      <c r="B51" s="115">
        <v>2024</v>
      </c>
      <c r="C51" s="115">
        <v>2025</v>
      </c>
      <c r="D51" s="115">
        <v>2026</v>
      </c>
      <c r="E51" s="115">
        <v>2027</v>
      </c>
      <c r="F51" s="115">
        <v>2028</v>
      </c>
      <c r="G51" s="115">
        <v>2029</v>
      </c>
      <c r="H51" s="115">
        <v>2030</v>
      </c>
      <c r="I51" s="115">
        <v>2031</v>
      </c>
      <c r="J51" s="115">
        <v>2032</v>
      </c>
      <c r="K51" s="115">
        <v>2033</v>
      </c>
      <c r="L51" s="115">
        <v>2034</v>
      </c>
      <c r="M51" s="115">
        <v>2035</v>
      </c>
      <c r="N51" s="115">
        <v>2036</v>
      </c>
      <c r="O51" s="115">
        <v>2037</v>
      </c>
      <c r="P51" s="115">
        <v>2038</v>
      </c>
      <c r="Q51" s="115">
        <v>2039</v>
      </c>
      <c r="R51" s="115">
        <v>2040</v>
      </c>
      <c r="S51" s="115">
        <v>2041</v>
      </c>
      <c r="T51" s="115">
        <v>2042</v>
      </c>
      <c r="U51" s="115">
        <v>2043</v>
      </c>
      <c r="V51" s="115">
        <v>2044</v>
      </c>
      <c r="W51" s="115">
        <v>2045</v>
      </c>
      <c r="X51" s="115">
        <v>2046</v>
      </c>
      <c r="Y51" s="115">
        <v>2047</v>
      </c>
      <c r="Z51" s="115">
        <v>2048</v>
      </c>
      <c r="AA51" s="115">
        <v>2049</v>
      </c>
      <c r="AB51" s="115">
        <v>2050</v>
      </c>
      <c r="AC51" s="115">
        <v>2051</v>
      </c>
      <c r="AD51" s="115">
        <v>2052</v>
      </c>
      <c r="AE51" s="115">
        <v>2053</v>
      </c>
      <c r="AF51" s="115">
        <v>2054</v>
      </c>
      <c r="AG51" s="115">
        <f>AG46</f>
        <v>2055</v>
      </c>
      <c r="AH51" s="115">
        <f t="shared" ref="AH51:AP51" si="1">AH46</f>
        <v>2056</v>
      </c>
      <c r="AI51" s="115">
        <f t="shared" si="1"/>
        <v>2057</v>
      </c>
      <c r="AJ51" s="115">
        <f t="shared" si="1"/>
        <v>2058</v>
      </c>
      <c r="AK51" s="115">
        <f t="shared" si="1"/>
        <v>2059</v>
      </c>
      <c r="AL51" s="115">
        <f t="shared" si="1"/>
        <v>2060</v>
      </c>
      <c r="AM51" s="115">
        <f t="shared" si="1"/>
        <v>2061</v>
      </c>
      <c r="AN51" s="115">
        <f t="shared" si="1"/>
        <v>2062</v>
      </c>
      <c r="AO51" s="115">
        <f t="shared" si="1"/>
        <v>2063</v>
      </c>
      <c r="AP51" s="115">
        <f t="shared" si="1"/>
        <v>2064</v>
      </c>
      <c r="AQ51" s="115">
        <f>AQ46</f>
        <v>2065</v>
      </c>
      <c r="AR51" s="115">
        <f>AR46</f>
        <v>2066</v>
      </c>
    </row>
    <row r="52" spans="1:44" x14ac:dyDescent="0.3">
      <c r="A52" s="82" t="s">
        <v>559</v>
      </c>
      <c r="B52">
        <v>11070</v>
      </c>
      <c r="C52">
        <v>17222</v>
      </c>
      <c r="D52">
        <v>18962</v>
      </c>
      <c r="E52">
        <v>22273</v>
      </c>
      <c r="F52">
        <v>21972</v>
      </c>
      <c r="G52">
        <v>21683</v>
      </c>
      <c r="H52">
        <v>19774</v>
      </c>
      <c r="I52">
        <v>17000</v>
      </c>
      <c r="J52">
        <v>14357</v>
      </c>
      <c r="K52">
        <v>11543</v>
      </c>
      <c r="L52">
        <v>8945</v>
      </c>
      <c r="M52">
        <v>6896</v>
      </c>
      <c r="N52">
        <v>5081</v>
      </c>
      <c r="O52">
        <v>3548</v>
      </c>
      <c r="P52">
        <v>3053</v>
      </c>
      <c r="Q52">
        <v>2673</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s="82" t="s">
        <v>560</v>
      </c>
      <c r="B53">
        <f ca="1">INDEX('Receita Líquida - O&amp;G'!$49:$49,MATCH(B$51,'Receita Líquida - O&amp;G'!$1:$1,0))</f>
        <v>12700</v>
      </c>
      <c r="C53">
        <f ca="1">INDEX('Receita Líquida - O&amp;G'!$49:$49,MATCH(C$51,'Receita Líquida - O&amp;G'!$1:$1,0))</f>
        <v>21942</v>
      </c>
      <c r="D53">
        <f ca="1">INDEX('Receita Líquida - O&amp;G'!$49:$49,MATCH(D$51,'Receita Líquida - O&amp;G'!$1:$1,0))</f>
        <v>24515</v>
      </c>
      <c r="E53">
        <f ca="1">INDEX('Receita Líquida - O&amp;G'!$49:$49,MATCH(E$51,'Receita Líquida - O&amp;G'!$1:$1,0))</f>
        <v>28630</v>
      </c>
      <c r="F53">
        <f ca="1">INDEX('Receita Líquida - O&amp;G'!$49:$49,MATCH(F$51,'Receita Líquida - O&amp;G'!$1:$1,0))</f>
        <v>31459</v>
      </c>
      <c r="G53">
        <f ca="1">INDEX('Receita Líquida - O&amp;G'!$49:$49,MATCH(G$51,'Receita Líquida - O&amp;G'!$1:$1,0))</f>
        <v>35441</v>
      </c>
      <c r="H53">
        <f ca="1">INDEX('Receita Líquida - O&amp;G'!$49:$49,MATCH(H$51,'Receita Líquida - O&amp;G'!$1:$1,0))</f>
        <v>31241</v>
      </c>
      <c r="I53">
        <f ca="1">INDEX('Receita Líquida - O&amp;G'!$49:$49,MATCH(I$51,'Receita Líquida - O&amp;G'!$1:$1,0))</f>
        <v>23464</v>
      </c>
      <c r="J53">
        <f ca="1">INDEX('Receita Líquida - O&amp;G'!$49:$49,MATCH(J$51,'Receita Líquida - O&amp;G'!$1:$1,0))</f>
        <v>17553</v>
      </c>
      <c r="K53">
        <f ca="1">INDEX('Receita Líquida - O&amp;G'!$49:$49,MATCH(K$51,'Receita Líquida - O&amp;G'!$1:$1,0))</f>
        <v>13666</v>
      </c>
      <c r="L53">
        <f ca="1">INDEX('Receita Líquida - O&amp;G'!$49:$49,MATCH(L$51,'Receita Líquida - O&amp;G'!$1:$1,0))</f>
        <v>10927</v>
      </c>
      <c r="M53">
        <f ca="1">INDEX('Receita Líquida - O&amp;G'!$49:$49,MATCH(M$51,'Receita Líquida - O&amp;G'!$1:$1,0))</f>
        <v>8540</v>
      </c>
      <c r="N53">
        <f ca="1">INDEX('Receita Líquida - O&amp;G'!$49:$49,MATCH(N$51,'Receita Líquida - O&amp;G'!$1:$1,0))</f>
        <v>6399</v>
      </c>
      <c r="O53">
        <f ca="1">INDEX('Receita Líquida - O&amp;G'!$49:$49,MATCH(O$51,'Receita Líquida - O&amp;G'!$1:$1,0))</f>
        <v>4804</v>
      </c>
      <c r="P53">
        <f ca="1">INDEX('Receita Líquida - O&amp;G'!$49:$49,MATCH(P$51,'Receita Líquida - O&amp;G'!$1:$1,0))</f>
        <v>3775</v>
      </c>
      <c r="Q53">
        <f ca="1">INDEX('Receita Líquida - O&amp;G'!$49:$49,MATCH(Q$51,'Receita Líquida - O&amp;G'!$1:$1,0))</f>
        <v>393</v>
      </c>
      <c r="R53">
        <f ca="1">INDEX('Receita Líquida - O&amp;G'!$49:$49,MATCH(R$51,'Receita Líquida - O&amp;G'!$1:$1,0))</f>
        <v>0</v>
      </c>
      <c r="S53">
        <f ca="1">INDEX('Receita Líquida - O&amp;G'!$49:$49,MATCH(S$51,'Receita Líquida - O&amp;G'!$1:$1,0))</f>
        <v>0</v>
      </c>
      <c r="T53">
        <f ca="1">INDEX('Receita Líquida - O&amp;G'!$49:$49,MATCH(T$51,'Receita Líquida - O&amp;G'!$1:$1,0))</f>
        <v>0</v>
      </c>
      <c r="U53">
        <f ca="1">INDEX('Receita Líquida - O&amp;G'!$49:$49,MATCH(U$51,'Receita Líquida - O&amp;G'!$1:$1,0))</f>
        <v>0</v>
      </c>
      <c r="V53">
        <f ca="1">INDEX('Receita Líquida - O&amp;G'!$49:$49,MATCH(V$51,'Receita Líquida - O&amp;G'!$1:$1,0))</f>
        <v>0</v>
      </c>
      <c r="W53">
        <f ca="1">INDEX('Receita Líquida - O&amp;G'!$49:$49,MATCH(W$51,'Receita Líquida - O&amp;G'!$1:$1,0))</f>
        <v>0</v>
      </c>
      <c r="X53">
        <f ca="1">INDEX('Receita Líquida - O&amp;G'!$49:$49,MATCH(X$51,'Receita Líquida - O&amp;G'!$1:$1,0))</f>
        <v>0</v>
      </c>
      <c r="Y53">
        <f ca="1">INDEX('Receita Líquida - O&amp;G'!$49:$49,MATCH(Y$51,'Receita Líquida - O&amp;G'!$1:$1,0))</f>
        <v>0</v>
      </c>
      <c r="Z53">
        <f ca="1">INDEX('Receita Líquida - O&amp;G'!$49:$49,MATCH(Z$51,'Receita Líquida - O&amp;G'!$1:$1,0))</f>
        <v>0</v>
      </c>
      <c r="AA53">
        <f ca="1">INDEX('Receita Líquida - O&amp;G'!$49:$49,MATCH(AA$51,'Receita Líquida - O&amp;G'!$1:$1,0))</f>
        <v>0</v>
      </c>
      <c r="AB53">
        <f ca="1">INDEX('Receita Líquida - O&amp;G'!$49:$49,MATCH(AB$51,'Receita Líquida - O&amp;G'!$1:$1,0))</f>
        <v>0</v>
      </c>
      <c r="AC53">
        <f ca="1">INDEX('Receita Líquida - O&amp;G'!$49:$49,MATCH(AC$51,'Receita Líquida - O&amp;G'!$1:$1,0))</f>
        <v>0</v>
      </c>
      <c r="AD53">
        <f ca="1">INDEX('Receita Líquida - O&amp;G'!$49:$49,MATCH(AD$51,'Receita Líquida - O&amp;G'!$1:$1,0))</f>
        <v>0</v>
      </c>
      <c r="AE53">
        <f ca="1">INDEX('Receita Líquida - O&amp;G'!$49:$49,MATCH(AE$51,'Receita Líquida - O&amp;G'!$1:$1,0))</f>
        <v>0</v>
      </c>
      <c r="AF53">
        <f ca="1">INDEX('Receita Líquida - O&amp;G'!$49:$49,MATCH(AF$51,'Receita Líquida - O&amp;G'!$1:$1,0))</f>
        <v>0</v>
      </c>
      <c r="AG53">
        <f ca="1">INDEX('Receita Líquida - O&amp;G'!$49:$49,MATCH(AG$51,'Receita Líquida - O&amp;G'!$1:$1,0))</f>
        <v>0</v>
      </c>
      <c r="AH53">
        <f ca="1">INDEX('Receita Líquida - O&amp;G'!$49:$49,MATCH(AH$51,'Receita Líquida - O&amp;G'!$1:$1,0))</f>
        <v>0</v>
      </c>
      <c r="AI53">
        <f ca="1">INDEX('Receita Líquida - O&amp;G'!$49:$49,MATCH(AI$51,'Receita Líquida - O&amp;G'!$1:$1,0))</f>
        <v>0</v>
      </c>
      <c r="AJ53">
        <f ca="1">INDEX('Receita Líquida - O&amp;G'!$49:$49,MATCH(AJ$51,'Receita Líquida - O&amp;G'!$1:$1,0))</f>
        <v>0</v>
      </c>
      <c r="AK53">
        <f ca="1">INDEX('Receita Líquida - O&amp;G'!$49:$49,MATCH(AK$51,'Receita Líquida - O&amp;G'!$1:$1,0))</f>
        <v>0</v>
      </c>
      <c r="AL53">
        <f ca="1">INDEX('Receita Líquida - O&amp;G'!$49:$49,MATCH(AL$51,'Receita Líquida - O&amp;G'!$1:$1,0))</f>
        <v>0</v>
      </c>
      <c r="AM53">
        <f ca="1">INDEX('Receita Líquida - O&amp;G'!$49:$49,MATCH(AM$51,'Receita Líquida - O&amp;G'!$1:$1,0))</f>
        <v>0</v>
      </c>
      <c r="AN53">
        <f ca="1">INDEX('Receita Líquida - O&amp;G'!$49:$49,MATCH(AN$51,'Receita Líquida - O&amp;G'!$1:$1,0))</f>
        <v>0</v>
      </c>
      <c r="AO53">
        <f ca="1">INDEX('Receita Líquida - O&amp;G'!$49:$49,MATCH(AO$51,'Receita Líquida - O&amp;G'!$1:$1,0))</f>
        <v>0</v>
      </c>
      <c r="AP53">
        <f ca="1">INDEX('Receita Líquida - O&amp;G'!$49:$49,MATCH(AP$51,'Receita Líquida - O&amp;G'!$1:$1,0))</f>
        <v>0</v>
      </c>
      <c r="AQ53">
        <f ca="1">INDEX('Receita Líquida - O&amp;G'!$49:$49,MATCH(AQ$51,'Receita Líquida - O&amp;G'!$1:$1,0))</f>
        <v>0</v>
      </c>
      <c r="AR53">
        <f ca="1">INDEX('Receita Líquida - O&amp;G'!$49:$49,MATCH(AR$51,'Receita Líquida - O&amp;G'!$1:$1,0))</f>
        <v>0</v>
      </c>
    </row>
    <row r="54" spans="1:44" x14ac:dyDescent="0.3">
      <c r="A54" s="82" t="s">
        <v>561</v>
      </c>
      <c r="B54">
        <v>13740</v>
      </c>
      <c r="C54">
        <v>24754</v>
      </c>
      <c r="D54">
        <v>29223</v>
      </c>
      <c r="E54">
        <v>38008</v>
      </c>
      <c r="F54">
        <v>37888</v>
      </c>
      <c r="G54">
        <v>33604</v>
      </c>
      <c r="H54">
        <v>28858</v>
      </c>
      <c r="I54">
        <v>22736</v>
      </c>
      <c r="J54">
        <v>18312</v>
      </c>
      <c r="K54">
        <v>15263</v>
      </c>
      <c r="L54">
        <v>13093</v>
      </c>
      <c r="M54">
        <v>11230</v>
      </c>
      <c r="N54">
        <v>9570</v>
      </c>
      <c r="O54">
        <v>8101</v>
      </c>
      <c r="P54">
        <v>6650</v>
      </c>
      <c r="Q54">
        <v>5437</v>
      </c>
      <c r="R54">
        <v>4562</v>
      </c>
      <c r="S54">
        <v>3804</v>
      </c>
      <c r="T54">
        <v>3019</v>
      </c>
      <c r="U54">
        <v>2598</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80" spans="1:8" ht="26.4" x14ac:dyDescent="0.3">
      <c r="A80" s="113" t="s">
        <v>552</v>
      </c>
      <c r="B80" s="102">
        <v>2018</v>
      </c>
      <c r="C80" s="102">
        <v>2019</v>
      </c>
      <c r="D80" s="102">
        <v>2020</v>
      </c>
      <c r="E80" s="102">
        <v>2021</v>
      </c>
      <c r="F80" s="102">
        <v>2022</v>
      </c>
      <c r="G80" s="102">
        <v>2023</v>
      </c>
      <c r="H80" s="102" t="s">
        <v>626</v>
      </c>
    </row>
    <row r="81" spans="1:8" ht="27" customHeight="1" x14ac:dyDescent="0.3">
      <c r="A81" s="152" t="s">
        <v>120</v>
      </c>
      <c r="B81" s="153">
        <v>34932</v>
      </c>
      <c r="C81" s="153">
        <v>374598</v>
      </c>
      <c r="D81" s="153">
        <v>386165</v>
      </c>
      <c r="E81" s="153">
        <v>915033</v>
      </c>
      <c r="F81" s="153">
        <v>166304</v>
      </c>
      <c r="G81" s="153">
        <v>1743491</v>
      </c>
      <c r="H81" s="153" t="s">
        <v>654</v>
      </c>
    </row>
    <row r="82" spans="1:8" x14ac:dyDescent="0.3">
      <c r="A82" s="154" t="s">
        <v>658</v>
      </c>
      <c r="B82" s="155">
        <v>15.019295104367902</v>
      </c>
      <c r="C82" s="155">
        <v>83.150547390877591</v>
      </c>
      <c r="D82" s="155">
        <v>74.224085369856397</v>
      </c>
      <c r="E82" s="155">
        <v>75.975163119770386</v>
      </c>
      <c r="F82" s="155">
        <v>9.5389641665913665</v>
      </c>
      <c r="G82" s="155">
        <v>53.454180880183443</v>
      </c>
      <c r="H82" s="155">
        <f>AVERAGE(B82:G82)</f>
        <v>51.893706005274517</v>
      </c>
    </row>
    <row r="83" spans="1:8" ht="25.8" customHeight="1" x14ac:dyDescent="0.3">
      <c r="A83" s="152" t="s">
        <v>122</v>
      </c>
      <c r="B83" s="153">
        <v>58298</v>
      </c>
      <c r="C83" s="153">
        <v>125474</v>
      </c>
      <c r="D83" s="153">
        <v>194666</v>
      </c>
      <c r="E83" s="153">
        <v>217536</v>
      </c>
      <c r="F83" s="153">
        <v>453425</v>
      </c>
      <c r="G83" s="153">
        <v>651651</v>
      </c>
      <c r="H83" s="153" t="s">
        <v>655</v>
      </c>
    </row>
    <row r="84" spans="1:8" x14ac:dyDescent="0.3">
      <c r="A84" s="154" t="s">
        <v>657</v>
      </c>
      <c r="B84" s="139">
        <v>6.8673137633699283E-2</v>
      </c>
      <c r="C84" s="139">
        <v>7.6306324824580718E-2</v>
      </c>
      <c r="D84" s="139">
        <v>0.10223061309694173</v>
      </c>
      <c r="E84" s="139">
        <v>4.948495258078759E-2</v>
      </c>
      <c r="F84" s="139">
        <v>7.1254306805636852E-2</v>
      </c>
      <c r="G84" s="139">
        <v>5.4737400736377138E-2</v>
      </c>
      <c r="H84" s="139">
        <f>AVERAGE(B84:G84)</f>
        <v>7.0447789279670547E-2</v>
      </c>
    </row>
    <row r="85" spans="1:8" ht="28.2" customHeight="1" x14ac:dyDescent="0.3">
      <c r="A85" s="152" t="s">
        <v>146</v>
      </c>
      <c r="B85" s="153">
        <v>73258</v>
      </c>
      <c r="C85" s="153">
        <v>87232</v>
      </c>
      <c r="D85" s="153">
        <v>236889</v>
      </c>
      <c r="E85" s="153">
        <v>292204</v>
      </c>
      <c r="F85" s="153">
        <v>565926</v>
      </c>
      <c r="G85" s="153">
        <v>638038</v>
      </c>
      <c r="H85" s="153" t="s">
        <v>656</v>
      </c>
    </row>
    <row r="86" spans="1:8" x14ac:dyDescent="0.3">
      <c r="A86" s="154" t="s">
        <v>659</v>
      </c>
      <c r="B86" s="155" t="s">
        <v>620</v>
      </c>
      <c r="C86" s="155" t="s">
        <v>620</v>
      </c>
      <c r="D86" s="155" t="s">
        <v>620</v>
      </c>
      <c r="E86" s="155">
        <v>134.67016344094711</v>
      </c>
      <c r="F86" s="155">
        <v>238.473347040888</v>
      </c>
      <c r="G86" s="155">
        <v>199.39558148515044</v>
      </c>
      <c r="H86" s="155">
        <f>AVERAGE(E86:F86)</f>
        <v>186.57175524091755</v>
      </c>
    </row>
    <row r="110" spans="1:45" x14ac:dyDescent="0.3">
      <c r="A110" t="s">
        <v>536</v>
      </c>
      <c r="B110">
        <f>'CAPEX, D&amp;A, Imob&amp;Intang'!AG1</f>
        <v>2024</v>
      </c>
      <c r="C110">
        <f>'CAPEX, D&amp;A, Imob&amp;Intang'!AH1</f>
        <v>2025</v>
      </c>
      <c r="D110">
        <f>'CAPEX, D&amp;A, Imob&amp;Intang'!AI1</f>
        <v>2026</v>
      </c>
      <c r="E110">
        <f>'CAPEX, D&amp;A, Imob&amp;Intang'!AJ1</f>
        <v>2027</v>
      </c>
      <c r="F110">
        <f>'CAPEX, D&amp;A, Imob&amp;Intang'!AK1</f>
        <v>2028</v>
      </c>
      <c r="G110">
        <f>'CAPEX, D&amp;A, Imob&amp;Intang'!AL1</f>
        <v>2029</v>
      </c>
      <c r="H110">
        <f>'CAPEX, D&amp;A, Imob&amp;Intang'!AM1</f>
        <v>2030</v>
      </c>
      <c r="I110">
        <f>'CAPEX, D&amp;A, Imob&amp;Intang'!AN1</f>
        <v>2031</v>
      </c>
      <c r="J110">
        <f>'CAPEX, D&amp;A, Imob&amp;Intang'!AO1</f>
        <v>2032</v>
      </c>
      <c r="K110">
        <f>'CAPEX, D&amp;A, Imob&amp;Intang'!AP1</f>
        <v>2033</v>
      </c>
      <c r="L110">
        <f>'CAPEX, D&amp;A, Imob&amp;Intang'!AQ1</f>
        <v>2034</v>
      </c>
      <c r="M110">
        <f>'CAPEX, D&amp;A, Imob&amp;Intang'!AR1</f>
        <v>2035</v>
      </c>
      <c r="N110">
        <f>'CAPEX, D&amp;A, Imob&amp;Intang'!AS1</f>
        <v>2036</v>
      </c>
      <c r="O110">
        <f>'CAPEX, D&amp;A, Imob&amp;Intang'!AT1</f>
        <v>2037</v>
      </c>
      <c r="P110">
        <f>'CAPEX, D&amp;A, Imob&amp;Intang'!AU1</f>
        <v>2038</v>
      </c>
      <c r="Q110">
        <f>'CAPEX, D&amp;A, Imob&amp;Intang'!AV1</f>
        <v>2039</v>
      </c>
      <c r="R110">
        <f>'CAPEX, D&amp;A, Imob&amp;Intang'!AW1</f>
        <v>2040</v>
      </c>
      <c r="S110">
        <f>'CAPEX, D&amp;A, Imob&amp;Intang'!AX1</f>
        <v>2041</v>
      </c>
      <c r="T110">
        <f>'CAPEX, D&amp;A, Imob&amp;Intang'!AY1</f>
        <v>2042</v>
      </c>
      <c r="U110">
        <f>'CAPEX, D&amp;A, Imob&amp;Intang'!AZ1</f>
        <v>2043</v>
      </c>
      <c r="V110">
        <f>'CAPEX, D&amp;A, Imob&amp;Intang'!BA1</f>
        <v>2044</v>
      </c>
      <c r="W110">
        <f>'CAPEX, D&amp;A, Imob&amp;Intang'!BB1</f>
        <v>2045</v>
      </c>
      <c r="X110">
        <f>'CAPEX, D&amp;A, Imob&amp;Intang'!BC1</f>
        <v>2046</v>
      </c>
      <c r="Y110">
        <f>'CAPEX, D&amp;A, Imob&amp;Intang'!BD1</f>
        <v>2047</v>
      </c>
      <c r="Z110">
        <f>'CAPEX, D&amp;A, Imob&amp;Intang'!BE1</f>
        <v>2048</v>
      </c>
      <c r="AA110">
        <f>'CAPEX, D&amp;A, Imob&amp;Intang'!BF1</f>
        <v>2049</v>
      </c>
      <c r="AB110">
        <f>'CAPEX, D&amp;A, Imob&amp;Intang'!BG1</f>
        <v>2050</v>
      </c>
      <c r="AC110">
        <f>'CAPEX, D&amp;A, Imob&amp;Intang'!BH1</f>
        <v>2051</v>
      </c>
      <c r="AD110">
        <f>'CAPEX, D&amp;A, Imob&amp;Intang'!BI1</f>
        <v>2052</v>
      </c>
      <c r="AE110">
        <f>'CAPEX, D&amp;A, Imob&amp;Intang'!BJ1</f>
        <v>2053</v>
      </c>
      <c r="AF110">
        <f>'CAPEX, D&amp;A, Imob&amp;Intang'!BK1</f>
        <v>2054</v>
      </c>
      <c r="AG110">
        <f>'CAPEX, D&amp;A, Imob&amp;Intang'!BL1</f>
        <v>2055</v>
      </c>
      <c r="AH110">
        <f>'CAPEX, D&amp;A, Imob&amp;Intang'!BM1</f>
        <v>2056</v>
      </c>
      <c r="AI110">
        <f>'CAPEX, D&amp;A, Imob&amp;Intang'!BN1</f>
        <v>2057</v>
      </c>
      <c r="AJ110">
        <f>'CAPEX, D&amp;A, Imob&amp;Intang'!BO1</f>
        <v>2058</v>
      </c>
      <c r="AK110">
        <f>'CAPEX, D&amp;A, Imob&amp;Intang'!BP1</f>
        <v>2059</v>
      </c>
      <c r="AL110">
        <f>'CAPEX, D&amp;A, Imob&amp;Intang'!BQ1</f>
        <v>2060</v>
      </c>
      <c r="AM110">
        <f>'CAPEX, D&amp;A, Imob&amp;Intang'!BR1</f>
        <v>2061</v>
      </c>
      <c r="AN110">
        <f>'CAPEX, D&amp;A, Imob&amp;Intang'!BS1</f>
        <v>2062</v>
      </c>
      <c r="AO110">
        <f>'CAPEX, D&amp;A, Imob&amp;Intang'!BT1</f>
        <v>2063</v>
      </c>
      <c r="AP110">
        <f>'CAPEX, D&amp;A, Imob&amp;Intang'!BU1</f>
        <v>2064</v>
      </c>
      <c r="AQ110">
        <f>'CAPEX, D&amp;A, Imob&amp;Intang'!BV1</f>
        <v>2065</v>
      </c>
      <c r="AR110">
        <f>'CAPEX, D&amp;A, Imob&amp;Intang'!BW1</f>
        <v>2066</v>
      </c>
      <c r="AS110">
        <f>'CAPEX, D&amp;A, Imob&amp;Intang'!BX1</f>
        <v>0</v>
      </c>
    </row>
    <row r="111" spans="1:45" x14ac:dyDescent="0.3">
      <c r="A111" t="s">
        <v>595</v>
      </c>
      <c r="B111" s="1">
        <v>-2019.9030495151999</v>
      </c>
      <c r="C111" s="1">
        <v>-1823.1108885152003</v>
      </c>
      <c r="D111" s="1">
        <v>-1472.7224632351999</v>
      </c>
      <c r="E111" s="1">
        <v>-1629.5186606791999</v>
      </c>
      <c r="F111" s="1">
        <v>-1320.2367267642082</v>
      </c>
      <c r="G111" s="1">
        <v>-1373.9583728337916</v>
      </c>
      <c r="H111" s="1">
        <v>-245.06946577319829</v>
      </c>
      <c r="I111" s="1">
        <v>-252.11032479641904</v>
      </c>
      <c r="J111" s="1">
        <v>-163.06907314931595</v>
      </c>
      <c r="K111" s="1">
        <v>-167.64955302708401</v>
      </c>
      <c r="L111" s="1">
        <v>-172.38043861353356</v>
      </c>
      <c r="M111" s="1">
        <v>-177.23986971585776</v>
      </c>
      <c r="N111" s="1">
        <v>-182.25886623452212</v>
      </c>
      <c r="O111" s="1">
        <v>-187.41423669097779</v>
      </c>
      <c r="P111" s="1">
        <v>-192.73889009762883</v>
      </c>
      <c r="Q111" s="1">
        <v>-198.20822261488263</v>
      </c>
      <c r="R111" s="1">
        <v>-203.85714741399869</v>
      </c>
      <c r="S111" s="1">
        <v>-209.65956228155329</v>
      </c>
      <c r="T111" s="1">
        <v>-215.65250660093554</v>
      </c>
      <c r="U111" s="1">
        <v>-221.80828853392418</v>
      </c>
      <c r="V111" s="1">
        <v>-68.710901486120648</v>
      </c>
      <c r="W111" s="1">
        <v>-70.457911488541257</v>
      </c>
      <c r="X111" s="1">
        <v>-72.275854296049715</v>
      </c>
      <c r="Y111" s="1">
        <v>-74.129257207617712</v>
      </c>
      <c r="Z111" s="1">
        <v>-76.057912732103475</v>
      </c>
      <c r="AA111" s="1">
        <v>-78.024187880985963</v>
      </c>
      <c r="AB111" s="1">
        <v>-10.173088515200186</v>
      </c>
      <c r="AC111" s="1">
        <v>-10.173088515200186</v>
      </c>
      <c r="AD111" s="1">
        <v>-10.173088515200186</v>
      </c>
      <c r="AE111" s="1">
        <v>0</v>
      </c>
      <c r="AF111" s="1">
        <v>0</v>
      </c>
      <c r="AG111" s="1">
        <v>0</v>
      </c>
      <c r="AH111" s="1">
        <v>0</v>
      </c>
      <c r="AI111" s="1">
        <v>0</v>
      </c>
      <c r="AJ111" s="1">
        <v>0</v>
      </c>
      <c r="AK111" s="1">
        <v>0</v>
      </c>
      <c r="AL111" s="1">
        <v>0</v>
      </c>
      <c r="AM111" s="1">
        <v>0</v>
      </c>
      <c r="AN111" s="1">
        <v>0</v>
      </c>
      <c r="AO111" s="1">
        <v>0</v>
      </c>
      <c r="AP111" s="1">
        <v>0</v>
      </c>
      <c r="AQ111" s="1">
        <v>0</v>
      </c>
      <c r="AR111" s="1">
        <v>0</v>
      </c>
      <c r="AS111" s="1">
        <v>0</v>
      </c>
    </row>
    <row r="112" spans="1:45" x14ac:dyDescent="0.3">
      <c r="A112" t="s">
        <v>596</v>
      </c>
      <c r="B112" s="1">
        <f ca="1">SUMIFS('Fluxo de Caixa dos Acionistas'!$77:$77,'Fluxo de Caixa dos Acionistas'!$1:$1,'Gráficos - Monografia'!B$110)/1000</f>
        <v>-2019.9030495151999</v>
      </c>
      <c r="C112" s="1">
        <f ca="1">SUMIFS('Fluxo de Caixa dos Acionistas'!$77:$77,'Fluxo de Caixa dos Acionistas'!$1:$1,'Gráficos - Monografia'!C$110)/1000</f>
        <v>-2014.3608885152003</v>
      </c>
      <c r="D112" s="1">
        <f ca="1">SUMIFS('Fluxo de Caixa dos Acionistas'!$77:$77,'Fluxo de Caixa dos Acionistas'!$1:$1,'Gráficos - Monografia'!D$110)/1000</f>
        <v>-1632.6527512352004</v>
      </c>
      <c r="E112" s="1">
        <f ca="1">SUMIFS('Fluxo de Caixa dos Acionistas'!$77:$77,'Fluxo de Caixa dos Acionistas'!$1:$1,'Gráficos - Monografia'!E$110)/1000</f>
        <v>-1629.5186606791999</v>
      </c>
      <c r="F112" s="1">
        <f ca="1">SUMIFS('Fluxo de Caixa dos Acionistas'!$77:$77,'Fluxo de Caixa dos Acionistas'!$1:$1,'Gráficos - Monografia'!F$110)/1000</f>
        <v>-1320.2367267642082</v>
      </c>
      <c r="G112" s="1">
        <f ca="1">SUMIFS('Fluxo de Caixa dos Acionistas'!$77:$77,'Fluxo de Caixa dos Acionistas'!$1:$1,'Gráficos - Monografia'!G$110)/1000</f>
        <v>-1373.9583728337916</v>
      </c>
      <c r="H112" s="1">
        <f ca="1">SUMIFS('Fluxo de Caixa dos Acionistas'!$77:$77,'Fluxo de Caixa dos Acionistas'!$1:$1,'Gráficos - Monografia'!H$110)/1000</f>
        <v>-245.06946577319829</v>
      </c>
      <c r="I112" s="1">
        <f ca="1">SUMIFS('Fluxo de Caixa dos Acionistas'!$77:$77,'Fluxo de Caixa dos Acionistas'!$1:$1,'Gráficos - Monografia'!I$110)/1000</f>
        <v>-252.11032479641904</v>
      </c>
      <c r="J112" s="1">
        <f ca="1">SUMIFS('Fluxo de Caixa dos Acionistas'!$77:$77,'Fluxo de Caixa dos Acionistas'!$1:$1,'Gráficos - Monografia'!J$110)/1000</f>
        <v>-259.37465514821037</v>
      </c>
      <c r="K112" s="1">
        <f ca="1">SUMIFS('Fluxo de Caixa dos Acionistas'!$77:$77,'Fluxo de Caixa dos Acionistas'!$1:$1,'Gráficos - Monografia'!K$110)/1000</f>
        <v>-266.84430248594526</v>
      </c>
      <c r="L112" s="1">
        <f ca="1">SUMIFS('Fluxo de Caixa dos Acionistas'!$77:$77,'Fluxo de Caixa dos Acionistas'!$1:$1,'Gráficos - Monografia'!L$110)/1000</f>
        <v>-274.55103055616064</v>
      </c>
      <c r="M112" s="1">
        <f ca="1">SUMIFS('Fluxo de Caixa dos Acionistas'!$77:$77,'Fluxo de Caixa dos Acionistas'!$1:$1,'Gráficos - Monografia'!M$110)/1000</f>
        <v>-282.47557941676365</v>
      </c>
      <c r="N112" s="1">
        <f ca="1">SUMIFS('Fluxo de Caixa dos Acionistas'!$77:$77,'Fluxo de Caixa dos Acionistas'!$1:$1,'Gráficos - Monografia'!N$110)/1000</f>
        <v>-290.65164722645522</v>
      </c>
      <c r="O112" s="1">
        <f ca="1">SUMIFS('Fluxo de Caixa dos Acionistas'!$77:$77,'Fluxo de Caixa dos Acionistas'!$1:$1,'Gráficos - Monografia'!O$110)/1000</f>
        <v>-187.41423669097779</v>
      </c>
      <c r="P112" s="1">
        <f ca="1">SUMIFS('Fluxo de Caixa dos Acionistas'!$77:$77,'Fluxo de Caixa dos Acionistas'!$1:$1,'Gráficos - Monografia'!P$110)/1000</f>
        <v>-192.73889009762883</v>
      </c>
      <c r="Q112" s="1">
        <f ca="1">SUMIFS('Fluxo de Caixa dos Acionistas'!$77:$77,'Fluxo de Caixa dos Acionistas'!$1:$1,'Gráficos - Monografia'!Q$110)/1000</f>
        <v>-198.20822261488263</v>
      </c>
      <c r="R112" s="1">
        <f ca="1">SUMIFS('Fluxo de Caixa dos Acionistas'!$77:$77,'Fluxo de Caixa dos Acionistas'!$1:$1,'Gráficos - Monografia'!R$110)/1000</f>
        <v>-203.85714741399869</v>
      </c>
      <c r="S112" s="1">
        <f ca="1">SUMIFS('Fluxo de Caixa dos Acionistas'!$77:$77,'Fluxo de Caixa dos Acionistas'!$1:$1,'Gráficos - Monografia'!S$110)/1000</f>
        <v>-209.65956228155329</v>
      </c>
      <c r="T112" s="1">
        <f ca="1">SUMIFS('Fluxo de Caixa dos Acionistas'!$77:$77,'Fluxo de Caixa dos Acionistas'!$1:$1,'Gráficos - Monografia'!T$110)/1000</f>
        <v>-215.65250660093554</v>
      </c>
      <c r="U112" s="1">
        <f ca="1">SUMIFS('Fluxo de Caixa dos Acionistas'!$77:$77,'Fluxo de Caixa dos Acionistas'!$1:$1,'Gráficos - Monografia'!U$110)/1000</f>
        <v>-221.80828853392418</v>
      </c>
      <c r="V112" s="1">
        <f ca="1">SUMIFS('Fluxo de Caixa dos Acionistas'!$77:$77,'Fluxo de Caixa dos Acionistas'!$1:$1,'Gráficos - Monografia'!V$110)/1000</f>
        <v>-228.16620316235682</v>
      </c>
      <c r="W112" s="1">
        <f ca="1">SUMIFS('Fluxo de Caixa dos Acionistas'!$77:$77,'Fluxo de Caixa dos Acionistas'!$1:$1,'Gráficos - Monografia'!W$110)/1000</f>
        <v>-234.69687221506459</v>
      </c>
      <c r="X112" s="1">
        <f ca="1">SUMIFS('Fluxo de Caixa dos Acionistas'!$77:$77,'Fluxo de Caixa dos Acionistas'!$1:$1,'Gráficos - Monografia'!X$110)/1000</f>
        <v>-241.44198384436865</v>
      </c>
      <c r="Y112" s="1">
        <f ca="1">SUMIFS('Fluxo de Caixa dos Acionistas'!$77:$77,'Fluxo de Caixa dos Acionistas'!$1:$1,'Gráficos - Monografia'!Y$110)/1000</f>
        <v>-248.37037064238629</v>
      </c>
      <c r="Z112" s="1">
        <f ca="1">SUMIFS('Fluxo de Caixa dos Acionistas'!$77:$77,'Fluxo de Caixa dos Acionistas'!$1:$1,'Gráficos - Monografia'!Z$110)/1000</f>
        <v>-255.52625956991508</v>
      </c>
      <c r="AA112" s="1">
        <f ca="1">SUMIFS('Fluxo de Caixa dos Acionistas'!$77:$77,'Fluxo de Caixa dos Acionistas'!$1:$1,'Gráficos - Monografia'!AA$110)/1000</f>
        <v>-262.87658512393187</v>
      </c>
      <c r="AB112" s="1">
        <f ca="1">SUMIFS('Fluxo de Caixa dos Acionistas'!$77:$77,'Fluxo de Caixa dos Acionistas'!$1:$1,'Gráficos - Monografia'!AB$110)/1000</f>
        <v>-10.173088515200186</v>
      </c>
      <c r="AC112" s="1">
        <f ca="1">SUMIFS('Fluxo de Caixa dos Acionistas'!$77:$77,'Fluxo de Caixa dos Acionistas'!$1:$1,'Gráficos - Monografia'!AC$110)/1000</f>
        <v>-10.173088515200186</v>
      </c>
      <c r="AD112" s="1">
        <f ca="1">SUMIFS('Fluxo de Caixa dos Acionistas'!$77:$77,'Fluxo de Caixa dos Acionistas'!$1:$1,'Gráficos - Monografia'!AD$110)/1000</f>
        <v>-10.173088515200186</v>
      </c>
      <c r="AE112" s="1">
        <f ca="1">SUMIFS('Fluxo de Caixa dos Acionistas'!$77:$77,'Fluxo de Caixa dos Acionistas'!$1:$1,'Gráficos - Monografia'!AE$110)/1000</f>
        <v>0</v>
      </c>
      <c r="AF112" s="1">
        <f ca="1">SUMIFS('Fluxo de Caixa dos Acionistas'!$77:$77,'Fluxo de Caixa dos Acionistas'!$1:$1,'Gráficos - Monografia'!AF$110)/1000</f>
        <v>0</v>
      </c>
      <c r="AG112" s="1">
        <f ca="1">SUMIFS('Fluxo de Caixa dos Acionistas'!$77:$77,'Fluxo de Caixa dos Acionistas'!$1:$1,'Gráficos - Monografia'!AG$110)/1000</f>
        <v>0</v>
      </c>
      <c r="AH112" s="1">
        <f ca="1">SUMIFS('Fluxo de Caixa dos Acionistas'!$77:$77,'Fluxo de Caixa dos Acionistas'!$1:$1,'Gráficos - Monografia'!AH$110)/1000</f>
        <v>0</v>
      </c>
      <c r="AI112" s="1">
        <f ca="1">SUMIFS('Fluxo de Caixa dos Acionistas'!$77:$77,'Fluxo de Caixa dos Acionistas'!$1:$1,'Gráficos - Monografia'!AI$110)/1000</f>
        <v>0</v>
      </c>
      <c r="AJ112" s="1">
        <f ca="1">SUMIFS('Fluxo de Caixa dos Acionistas'!$77:$77,'Fluxo de Caixa dos Acionistas'!$1:$1,'Gráficos - Monografia'!AJ$110)/1000</f>
        <v>0</v>
      </c>
      <c r="AK112" s="1">
        <f ca="1">SUMIFS('Fluxo de Caixa dos Acionistas'!$77:$77,'Fluxo de Caixa dos Acionistas'!$1:$1,'Gráficos - Monografia'!AK$110)/1000</f>
        <v>0</v>
      </c>
      <c r="AL112" s="1">
        <f ca="1">SUMIFS('Fluxo de Caixa dos Acionistas'!$77:$77,'Fluxo de Caixa dos Acionistas'!$1:$1,'Gráficos - Monografia'!AL$110)/1000</f>
        <v>0</v>
      </c>
      <c r="AM112" s="1">
        <f ca="1">SUMIFS('Fluxo de Caixa dos Acionistas'!$77:$77,'Fluxo de Caixa dos Acionistas'!$1:$1,'Gráficos - Monografia'!AM$110)/1000</f>
        <v>0</v>
      </c>
      <c r="AN112" s="1">
        <f ca="1">SUMIFS('Fluxo de Caixa dos Acionistas'!$77:$77,'Fluxo de Caixa dos Acionistas'!$1:$1,'Gráficos - Monografia'!AN$110)/1000</f>
        <v>0</v>
      </c>
      <c r="AO112" s="1">
        <f ca="1">SUMIFS('Fluxo de Caixa dos Acionistas'!$77:$77,'Fluxo de Caixa dos Acionistas'!$1:$1,'Gráficos - Monografia'!AO$110)/1000</f>
        <v>0</v>
      </c>
      <c r="AP112" s="1">
        <f ca="1">SUMIFS('Fluxo de Caixa dos Acionistas'!$77:$77,'Fluxo de Caixa dos Acionistas'!$1:$1,'Gráficos - Monografia'!AP$110)/1000</f>
        <v>0</v>
      </c>
      <c r="AQ112" s="1">
        <f ca="1">SUMIFS('Fluxo de Caixa dos Acionistas'!$77:$77,'Fluxo de Caixa dos Acionistas'!$1:$1,'Gráficos - Monografia'!AQ$110)/1000</f>
        <v>0</v>
      </c>
      <c r="AR112" s="1">
        <f ca="1">SUMIFS('Fluxo de Caixa dos Acionistas'!$77:$77,'Fluxo de Caixa dos Acionistas'!$1:$1,'Gráficos - Monografia'!AR$110)/1000</f>
        <v>0</v>
      </c>
      <c r="AS112" s="1">
        <f>SUMIFS('Fluxo de Caixa dos Acionistas'!$77:$77,'Fluxo de Caixa dos Acionistas'!$1:$1,'Gráficos - Monografia'!AS$110)/1000</f>
        <v>0</v>
      </c>
    </row>
    <row r="113" spans="1:46" x14ac:dyDescent="0.3">
      <c r="A113" t="s">
        <v>597</v>
      </c>
      <c r="B113" s="1">
        <v>-2019.9030495151999</v>
      </c>
      <c r="C113" s="1">
        <v>-2014.3608885152003</v>
      </c>
      <c r="D113" s="1">
        <v>-1632.6527512352004</v>
      </c>
      <c r="E113" s="1">
        <v>-1629.5186606791999</v>
      </c>
      <c r="F113" s="1">
        <v>-1320.2367267642082</v>
      </c>
      <c r="G113" s="1">
        <v>-1373.9583728337916</v>
      </c>
      <c r="H113" s="1">
        <v>-245.06946577319829</v>
      </c>
      <c r="I113" s="1">
        <v>-252.11032479641904</v>
      </c>
      <c r="J113" s="1">
        <v>-259.37465514821037</v>
      </c>
      <c r="K113" s="1">
        <v>-266.84430248594526</v>
      </c>
      <c r="L113" s="1">
        <v>-274.55103055616064</v>
      </c>
      <c r="M113" s="1">
        <v>-282.47557941676365</v>
      </c>
      <c r="N113" s="1">
        <v>-290.65164722645522</v>
      </c>
      <c r="O113" s="1">
        <v>-299.0588011126689</v>
      </c>
      <c r="P113" s="1">
        <v>-307.73279145197057</v>
      </c>
      <c r="Q113" s="1">
        <v>-316.65194100985474</v>
      </c>
      <c r="R113" s="1">
        <v>-325.85417736081996</v>
      </c>
      <c r="S113" s="1">
        <v>-335.31650312677914</v>
      </c>
      <c r="T113" s="1">
        <v>-345.07915567151815</v>
      </c>
      <c r="U113" s="1">
        <v>-355.11773707662428</v>
      </c>
      <c r="V113" s="1">
        <v>-365.47493516133795</v>
      </c>
      <c r="W113" s="1">
        <v>-376.1248661740151</v>
      </c>
      <c r="X113" s="1">
        <v>-241.44198384436865</v>
      </c>
      <c r="Y113" s="1">
        <v>-248.37037064238629</v>
      </c>
      <c r="Z113" s="1">
        <v>-255.52625956991508</v>
      </c>
      <c r="AA113" s="1">
        <v>-262.87658512393187</v>
      </c>
      <c r="AB113" s="1">
        <v>-80.070298526912865</v>
      </c>
      <c r="AC113" s="1">
        <v>-82.156319832362314</v>
      </c>
      <c r="AD113" s="1">
        <v>-10.173088515200186</v>
      </c>
      <c r="AE113" s="1">
        <v>-10.173088515200186</v>
      </c>
      <c r="AF113" s="1">
        <v>-10.173088515200186</v>
      </c>
      <c r="AG113" s="1">
        <v>0</v>
      </c>
      <c r="AH113" s="1">
        <v>0</v>
      </c>
      <c r="AI113" s="1">
        <v>0</v>
      </c>
      <c r="AJ113" s="1">
        <v>0</v>
      </c>
      <c r="AK113" s="1">
        <v>0</v>
      </c>
      <c r="AL113" s="1">
        <v>0</v>
      </c>
      <c r="AM113" s="1">
        <v>0</v>
      </c>
      <c r="AN113" s="1">
        <v>0</v>
      </c>
      <c r="AO113" s="1">
        <v>0</v>
      </c>
      <c r="AP113" s="1">
        <v>0</v>
      </c>
      <c r="AQ113" s="1">
        <v>0</v>
      </c>
      <c r="AR113" s="1">
        <v>0</v>
      </c>
      <c r="AS113" s="1">
        <v>0</v>
      </c>
    </row>
    <row r="115" spans="1:46" x14ac:dyDescent="0.3">
      <c r="B115">
        <v>2023</v>
      </c>
      <c r="C115">
        <v>2024</v>
      </c>
      <c r="D115">
        <v>2025</v>
      </c>
      <c r="E115">
        <v>2026</v>
      </c>
      <c r="F115">
        <v>2027</v>
      </c>
      <c r="G115">
        <v>2028</v>
      </c>
      <c r="H115">
        <v>2029</v>
      </c>
      <c r="I115">
        <v>2030</v>
      </c>
      <c r="J115">
        <v>2031</v>
      </c>
      <c r="K115">
        <v>2032</v>
      </c>
      <c r="L115">
        <v>2033</v>
      </c>
      <c r="M115">
        <v>2034</v>
      </c>
      <c r="N115">
        <v>2035</v>
      </c>
      <c r="O115">
        <v>2036</v>
      </c>
      <c r="P115">
        <v>2037</v>
      </c>
      <c r="Q115">
        <v>2038</v>
      </c>
      <c r="R115">
        <v>2039</v>
      </c>
      <c r="S115">
        <v>2040</v>
      </c>
      <c r="T115">
        <v>2041</v>
      </c>
      <c r="U115">
        <v>2042</v>
      </c>
      <c r="V115">
        <v>2043</v>
      </c>
      <c r="W115">
        <v>2044</v>
      </c>
      <c r="X115">
        <v>2045</v>
      </c>
      <c r="Y115">
        <v>2046</v>
      </c>
      <c r="Z115">
        <v>2047</v>
      </c>
      <c r="AA115">
        <v>2048</v>
      </c>
      <c r="AB115">
        <v>2049</v>
      </c>
      <c r="AC115">
        <v>2050</v>
      </c>
      <c r="AD115">
        <v>2051</v>
      </c>
      <c r="AE115">
        <v>2052</v>
      </c>
      <c r="AF115">
        <v>2053</v>
      </c>
      <c r="AG115">
        <v>2054</v>
      </c>
      <c r="AH115">
        <v>2055</v>
      </c>
      <c r="AI115">
        <v>2056</v>
      </c>
      <c r="AJ115">
        <v>2057</v>
      </c>
      <c r="AK115">
        <v>2058</v>
      </c>
      <c r="AL115">
        <v>2059</v>
      </c>
      <c r="AM115">
        <v>2060</v>
      </c>
      <c r="AN115">
        <v>2061</v>
      </c>
      <c r="AO115">
        <v>2062</v>
      </c>
      <c r="AP115">
        <v>2063</v>
      </c>
      <c r="AQ115">
        <v>2064</v>
      </c>
      <c r="AR115">
        <v>2065</v>
      </c>
      <c r="AS115">
        <v>2066</v>
      </c>
      <c r="AT115">
        <v>0</v>
      </c>
    </row>
    <row r="116" spans="1:46" x14ac:dyDescent="0.3">
      <c r="A116" t="s">
        <v>628</v>
      </c>
      <c r="B116" s="1">
        <v>-1842420.7095616721</v>
      </c>
      <c r="C116" s="1">
        <v>-2104569.5434000688</v>
      </c>
      <c r="D116" s="1">
        <v>-2380348.3347197152</v>
      </c>
      <c r="E116" s="1">
        <v>-2458840.4962339718</v>
      </c>
      <c r="F116" s="1">
        <v>-2669063.102854351</v>
      </c>
      <c r="G116" s="1">
        <v>-2627674.8826690055</v>
      </c>
      <c r="H116" s="1">
        <v>-2444007.5092297904</v>
      </c>
      <c r="I116" s="1">
        <v>-2127733.5621841429</v>
      </c>
      <c r="J116" s="1">
        <v>-1850807.6726985578</v>
      </c>
      <c r="K116" s="1">
        <v>-1595124.8733159804</v>
      </c>
      <c r="L116" s="1">
        <v>-1298259.2149458455</v>
      </c>
      <c r="M116" s="1">
        <v>-1136419.8465680336</v>
      </c>
      <c r="N116" s="1">
        <v>-992250.57186098257</v>
      </c>
      <c r="O116" s="1">
        <v>-893791.4084957249</v>
      </c>
      <c r="P116" s="1">
        <v>-798586.80811103003</v>
      </c>
      <c r="Q116" s="1">
        <v>-678900.11710136209</v>
      </c>
      <c r="R116" s="1">
        <v>-636433.03534169809</v>
      </c>
      <c r="S116" s="1">
        <v>-597658.90535721835</v>
      </c>
      <c r="T116" s="1">
        <v>-574833.30157269118</v>
      </c>
      <c r="U116" s="1">
        <v>-560543.82950822974</v>
      </c>
      <c r="V116" s="1">
        <v>-547701.17968330986</v>
      </c>
      <c r="W116" s="1">
        <v>-498333.87693036802</v>
      </c>
      <c r="X116" s="1">
        <v>-289548.33800652745</v>
      </c>
      <c r="Y116" s="1">
        <v>-281977.23410533462</v>
      </c>
      <c r="Z116" s="1">
        <v>-265840.70118214388</v>
      </c>
      <c r="AA116" s="1">
        <v>-267305.29595345125</v>
      </c>
      <c r="AB116" s="1">
        <v>-278357.21986304678</v>
      </c>
      <c r="AC116" s="1">
        <v>-229527.10775419281</v>
      </c>
      <c r="AD116" s="1">
        <v>-10173.088515200187</v>
      </c>
      <c r="AE116" s="1">
        <v>0</v>
      </c>
      <c r="AF116" s="1">
        <v>0</v>
      </c>
      <c r="AG116" s="1">
        <v>0</v>
      </c>
      <c r="AH116" s="1">
        <v>0</v>
      </c>
      <c r="AI116" s="1">
        <v>0</v>
      </c>
      <c r="AJ116" s="1">
        <v>0</v>
      </c>
      <c r="AK116" s="1">
        <v>0</v>
      </c>
      <c r="AL116" s="1">
        <v>0</v>
      </c>
      <c r="AM116" s="1">
        <v>0</v>
      </c>
      <c r="AN116" s="1">
        <v>0</v>
      </c>
      <c r="AO116" s="1">
        <v>0</v>
      </c>
      <c r="AP116" s="1">
        <v>0</v>
      </c>
      <c r="AQ116" s="1">
        <v>0</v>
      </c>
      <c r="AR116" s="1">
        <v>0</v>
      </c>
      <c r="AS116" s="1">
        <v>0</v>
      </c>
      <c r="AT116" s="1">
        <v>0</v>
      </c>
    </row>
    <row r="117" spans="1:46" x14ac:dyDescent="0.3">
      <c r="A117" t="s">
        <v>629</v>
      </c>
      <c r="B117" s="1">
        <f ca="1">'Fluxo de Caixa dos Acionistas'!AG$20+'Fluxo de Caixa dos Acionistas'!AG$37</f>
        <v>-1596953.1915402797</v>
      </c>
      <c r="C117" s="1">
        <f ca="1">'Fluxo de Caixa dos Acionistas'!AH$20+'Fluxo de Caixa dos Acionistas'!AH$37</f>
        <v>-1891224.984240544</v>
      </c>
      <c r="D117" s="1">
        <f ca="1">'Fluxo de Caixa dos Acionistas'!AI$20+'Fluxo de Caixa dos Acionistas'!AI$37</f>
        <v>-2219458.2125376491</v>
      </c>
      <c r="E117" s="1">
        <f ca="1">'Fluxo de Caixa dos Acionistas'!AJ$20+'Fluxo de Caixa dos Acionistas'!AJ$37</f>
        <v>-2392330.1476040916</v>
      </c>
      <c r="F117" s="1">
        <f ca="1">'Fluxo de Caixa dos Acionistas'!AK$20+'Fluxo de Caixa dos Acionistas'!AK$37</f>
        <v>-2655350.8833659366</v>
      </c>
      <c r="G117" s="1">
        <f ca="1">'Fluxo de Caixa dos Acionistas'!AL$20+'Fluxo de Caixa dos Acionistas'!AL$37</f>
        <v>-2587698.1410118365</v>
      </c>
      <c r="H117" s="1">
        <f ca="1">'Fluxo de Caixa dos Acionistas'!AM$20+'Fluxo de Caixa dos Acionistas'!AM$37</f>
        <v>-2369012.5761992</v>
      </c>
      <c r="I117" s="1">
        <f ca="1">'Fluxo de Caixa dos Acionistas'!AN$20+'Fluxo de Caixa dos Acionistas'!AN$37</f>
        <v>-2064726.7952979868</v>
      </c>
      <c r="J117" s="1">
        <f ca="1">'Fluxo de Caixa dos Acionistas'!AO$20+'Fluxo de Caixa dos Acionistas'!AO$37</f>
        <v>-1828137.3740146561</v>
      </c>
      <c r="K117" s="1">
        <f ca="1">'Fluxo de Caixa dos Acionistas'!AP$20+'Fluxo de Caixa dos Acionistas'!AP$37</f>
        <v>-1639355.053219323</v>
      </c>
      <c r="L117" s="1">
        <f ca="1">'Fluxo de Caixa dos Acionistas'!AQ$20+'Fluxo de Caixa dos Acionistas'!AQ$37</f>
        <v>-1457684.5995409428</v>
      </c>
      <c r="M117" s="1">
        <f ca="1">'Fluxo de Caixa dos Acionistas'!AR$20+'Fluxo de Caixa dos Acionistas'!AR$37</f>
        <v>-1283119.9727102192</v>
      </c>
      <c r="N117" s="1">
        <f ca="1">'Fluxo de Caixa dos Acionistas'!AS$20+'Fluxo de Caixa dos Acionistas'!AS$37</f>
        <v>-1140996.334725976</v>
      </c>
      <c r="O117" s="1">
        <f ca="1">'Fluxo de Caixa dos Acionistas'!AT$20+'Fluxo de Caixa dos Acionistas'!AT$37</f>
        <v>-1046619.3330039277</v>
      </c>
      <c r="P117" s="1">
        <f ca="1">'Fluxo de Caixa dos Acionistas'!AU$20+'Fluxo de Caixa dos Acionistas'!AU$37</f>
        <v>-932589.41753807059</v>
      </c>
      <c r="Q117" s="1">
        <f ca="1">'Fluxo de Caixa dos Acionistas'!AV$20+'Fluxo de Caixa dos Acionistas'!AV$37</f>
        <v>-761804.33286916395</v>
      </c>
      <c r="R117" s="1">
        <f ca="1">'Fluxo de Caixa dos Acionistas'!AW$20+'Fluxo de Caixa dos Acionistas'!AW$37</f>
        <v>-696697.33130685333</v>
      </c>
      <c r="S117" s="1">
        <f ca="1">'Fluxo de Caixa dos Acionistas'!AX$20+'Fluxo de Caixa dos Acionistas'!AX$37</f>
        <v>-643182.37575193064</v>
      </c>
      <c r="T117" s="1">
        <f ca="1">'Fluxo de Caixa dos Acionistas'!AY$20+'Fluxo de Caixa dos Acionistas'!AY$37</f>
        <v>-595396.294670515</v>
      </c>
      <c r="U117" s="1">
        <f ca="1">'Fluxo de Caixa dos Acionistas'!AZ$20+'Fluxo de Caixa dos Acionistas'!AZ$37</f>
        <v>-564354.75797985075</v>
      </c>
      <c r="V117" s="1">
        <f ca="1">'Fluxo de Caixa dos Acionistas'!BA$20+'Fluxo de Caixa dos Acionistas'!BA$37</f>
        <v>-528544.82289560908</v>
      </c>
      <c r="W117" s="1">
        <f ca="1">'Fluxo de Caixa dos Acionistas'!BB$20+'Fluxo de Caixa dos Acionistas'!BB$37</f>
        <v>-521838.92808162619</v>
      </c>
      <c r="X117" s="1">
        <f ca="1">'Fluxo de Caixa dos Acionistas'!BC$20+'Fluxo de Caixa dos Acionistas'!BC$37</f>
        <v>-528272.1710367637</v>
      </c>
      <c r="Y117" s="1">
        <f ca="1">'Fluxo de Caixa dos Acionistas'!BD$20+'Fluxo de Caixa dos Acionistas'!BD$37</f>
        <v>-547834.74978688557</v>
      </c>
      <c r="Z117" s="1">
        <f ca="1">'Fluxo de Caixa dos Acionistas'!BE$20+'Fluxo de Caixa dos Acionistas'!BE$37</f>
        <v>-553699.42097995011</v>
      </c>
      <c r="AA117" s="1">
        <f ca="1">'Fluxo de Caixa dos Acionistas'!BF$20+'Fluxo de Caixa dos Acionistas'!BF$37</f>
        <v>-603081.83312543749</v>
      </c>
      <c r="AB117" s="1">
        <f ca="1">'Fluxo de Caixa dos Acionistas'!BG$20+'Fluxo de Caixa dos Acionistas'!BG$37</f>
        <v>-717323.58145156072</v>
      </c>
      <c r="AC117" s="1">
        <f ca="1">'Fluxo de Caixa dos Acionistas'!BH$20+'Fluxo de Caixa dos Acionistas'!BH$37</f>
        <v>-453473.01428149233</v>
      </c>
      <c r="AD117" s="1">
        <f ca="1">'Fluxo de Caixa dos Acionistas'!BI$20+'Fluxo de Caixa dos Acionistas'!BI$37</f>
        <v>-10173.088515200187</v>
      </c>
      <c r="AE117" s="1">
        <f ca="1">'Fluxo de Caixa dos Acionistas'!BJ$20+'Fluxo de Caixa dos Acionistas'!BJ$37</f>
        <v>0</v>
      </c>
      <c r="AF117" s="1">
        <f ca="1">'Fluxo de Caixa dos Acionistas'!BK$20+'Fluxo de Caixa dos Acionistas'!BK$37</f>
        <v>0</v>
      </c>
      <c r="AG117" s="1">
        <f ca="1">'Fluxo de Caixa dos Acionistas'!BL$20+'Fluxo de Caixa dos Acionistas'!BL$37</f>
        <v>0</v>
      </c>
      <c r="AH117" s="1">
        <f ca="1">'Fluxo de Caixa dos Acionistas'!BM$20+'Fluxo de Caixa dos Acionistas'!BM$37</f>
        <v>0</v>
      </c>
      <c r="AI117" s="1">
        <f ca="1">'Fluxo de Caixa dos Acionistas'!BN$20+'Fluxo de Caixa dos Acionistas'!BN$37</f>
        <v>0</v>
      </c>
      <c r="AJ117" s="1">
        <f ca="1">'Fluxo de Caixa dos Acionistas'!BO$20+'Fluxo de Caixa dos Acionistas'!BO$37</f>
        <v>0</v>
      </c>
      <c r="AK117" s="1">
        <f ca="1">'Fluxo de Caixa dos Acionistas'!BP$20+'Fluxo de Caixa dos Acionistas'!BP$37</f>
        <v>0</v>
      </c>
      <c r="AL117" s="1">
        <f ca="1">'Fluxo de Caixa dos Acionistas'!BQ$20+'Fluxo de Caixa dos Acionistas'!BQ$37</f>
        <v>0</v>
      </c>
      <c r="AM117" s="1">
        <f ca="1">'Fluxo de Caixa dos Acionistas'!BR$20+'Fluxo de Caixa dos Acionistas'!BR$37</f>
        <v>0</v>
      </c>
      <c r="AN117" s="1">
        <f ca="1">'Fluxo de Caixa dos Acionistas'!BS$20+'Fluxo de Caixa dos Acionistas'!BS$37</f>
        <v>0</v>
      </c>
      <c r="AO117" s="1">
        <f ca="1">'Fluxo de Caixa dos Acionistas'!BT$20+'Fluxo de Caixa dos Acionistas'!BT$37</f>
        <v>0</v>
      </c>
      <c r="AP117" s="1">
        <f ca="1">'Fluxo de Caixa dos Acionistas'!BU$20+'Fluxo de Caixa dos Acionistas'!BU$37</f>
        <v>0</v>
      </c>
      <c r="AQ117" s="1">
        <f ca="1">'Fluxo de Caixa dos Acionistas'!BV$20+'Fluxo de Caixa dos Acionistas'!BV$37</f>
        <v>0</v>
      </c>
      <c r="AR117" s="1">
        <f ca="1">'Fluxo de Caixa dos Acionistas'!BW$20+'Fluxo de Caixa dos Acionistas'!BW$37</f>
        <v>0</v>
      </c>
      <c r="AS117" s="1">
        <f>'Fluxo de Caixa dos Acionistas'!BX$20+'Fluxo de Caixa dos Acionistas'!BX$37</f>
        <v>0</v>
      </c>
      <c r="AT117" s="1">
        <f>'Fluxo de Caixa dos Acionistas'!BY$20+'Fluxo de Caixa dos Acionistas'!BY$37</f>
        <v>0</v>
      </c>
    </row>
    <row r="118" spans="1:46" x14ac:dyDescent="0.3">
      <c r="A118" t="s">
        <v>630</v>
      </c>
      <c r="B118" s="1">
        <v>-1386137.0825187394</v>
      </c>
      <c r="C118" s="1">
        <v>-1690590.7879518578</v>
      </c>
      <c r="D118" s="1">
        <v>-2029822.1452059536</v>
      </c>
      <c r="E118" s="1">
        <v>-2134470.9246119875</v>
      </c>
      <c r="F118" s="1">
        <v>-2333339.8605895555</v>
      </c>
      <c r="G118" s="1">
        <v>-2335772.2001137715</v>
      </c>
      <c r="H118" s="1">
        <v>-2151560.5819430868</v>
      </c>
      <c r="I118" s="1">
        <v>-1903077.7148133372</v>
      </c>
      <c r="J118" s="1">
        <v>-1705130.1154233865</v>
      </c>
      <c r="K118" s="1">
        <v>-1546800.0499403151</v>
      </c>
      <c r="L118" s="1">
        <v>-1416453.4761603922</v>
      </c>
      <c r="M118" s="1">
        <v>-1304020.250382839</v>
      </c>
      <c r="N118" s="1">
        <v>-1203799.5190371526</v>
      </c>
      <c r="O118" s="1">
        <v>-1105424.0609607003</v>
      </c>
      <c r="P118" s="1">
        <v>-1023237.2310997628</v>
      </c>
      <c r="Q118" s="1">
        <v>-969495.26173299621</v>
      </c>
      <c r="R118" s="1">
        <v>-926344.69555485761</v>
      </c>
      <c r="S118" s="1">
        <v>-883150.68160809646</v>
      </c>
      <c r="T118" s="1">
        <v>-838946.87695764413</v>
      </c>
      <c r="U118" s="1">
        <v>-786807.16930115095</v>
      </c>
      <c r="V118" s="1">
        <v>-785557.15601232764</v>
      </c>
      <c r="W118" s="1">
        <v>-785394.86589342821</v>
      </c>
      <c r="X118" s="1">
        <v>-813969.07388378819</v>
      </c>
      <c r="Y118" s="1">
        <v>-820359.77060355642</v>
      </c>
      <c r="Z118" s="1">
        <v>-697801.61052893568</v>
      </c>
      <c r="AA118" s="1">
        <v>-745630.74661168887</v>
      </c>
      <c r="AB118" s="1">
        <v>-831641.6804522319</v>
      </c>
      <c r="AC118" s="1">
        <v>-583522.68415435834</v>
      </c>
      <c r="AD118" s="1">
        <v>-195354.32496632534</v>
      </c>
      <c r="AE118" s="1">
        <v>-183583.62864758776</v>
      </c>
      <c r="AF118" s="1">
        <v>-10173.088515200187</v>
      </c>
      <c r="AG118" s="1">
        <v>0</v>
      </c>
      <c r="AH118" s="1">
        <v>0</v>
      </c>
      <c r="AI118" s="1">
        <v>0</v>
      </c>
      <c r="AJ118" s="1">
        <v>0</v>
      </c>
      <c r="AK118" s="1">
        <v>0</v>
      </c>
      <c r="AL118" s="1">
        <v>0</v>
      </c>
      <c r="AM118" s="1">
        <v>0</v>
      </c>
      <c r="AN118" s="1">
        <v>0</v>
      </c>
      <c r="AO118" s="1">
        <v>0</v>
      </c>
      <c r="AP118" s="1">
        <v>0</v>
      </c>
      <c r="AQ118" s="1">
        <v>0</v>
      </c>
      <c r="AR118" s="1">
        <v>0</v>
      </c>
      <c r="AS118" s="1">
        <v>0</v>
      </c>
      <c r="AT118" s="1">
        <v>0</v>
      </c>
    </row>
    <row r="122" spans="1:46" x14ac:dyDescent="0.3">
      <c r="B122">
        <f>'CAPEX, Impostos e Abandono ($)'!V1</f>
        <v>2021</v>
      </c>
      <c r="C122">
        <f>'CAPEX, Impostos e Abandono ($)'!AA1</f>
        <v>2022</v>
      </c>
      <c r="D122">
        <f>'CAPEX, Impostos e Abandono ($)'!AF1</f>
        <v>2023</v>
      </c>
      <c r="E122">
        <f>'CAPEX, Impostos e Abandono ($)'!AG1</f>
        <v>2024</v>
      </c>
      <c r="F122">
        <f>'CAPEX, Impostos e Abandono ($)'!AH1</f>
        <v>2025</v>
      </c>
      <c r="G122">
        <f>'CAPEX, Impostos e Abandono ($)'!AI1</f>
        <v>2026</v>
      </c>
      <c r="H122">
        <f>'CAPEX, Impostos e Abandono ($)'!AJ1</f>
        <v>2027</v>
      </c>
      <c r="I122">
        <f>'CAPEX, Impostos e Abandono ($)'!AK1</f>
        <v>2028</v>
      </c>
      <c r="J122">
        <f>'CAPEX, Impostos e Abandono ($)'!AL1</f>
        <v>2029</v>
      </c>
      <c r="K122">
        <f>'CAPEX, Impostos e Abandono ($)'!AM1</f>
        <v>2030</v>
      </c>
      <c r="L122">
        <f>'CAPEX, Impostos e Abandono ($)'!AN1</f>
        <v>2031</v>
      </c>
      <c r="M122">
        <f>'CAPEX, Impostos e Abandono ($)'!AO1</f>
        <v>2032</v>
      </c>
      <c r="N122">
        <f>'CAPEX, Impostos e Abandono ($)'!AP1</f>
        <v>2033</v>
      </c>
      <c r="O122">
        <f>'CAPEX, Impostos e Abandono ($)'!AQ1</f>
        <v>2034</v>
      </c>
      <c r="P122">
        <f>'CAPEX, Impostos e Abandono ($)'!AR1</f>
        <v>2035</v>
      </c>
      <c r="Q122">
        <f>'CAPEX, Impostos e Abandono ($)'!AS1</f>
        <v>2036</v>
      </c>
      <c r="R122">
        <f>'CAPEX, Impostos e Abandono ($)'!AT1</f>
        <v>2037</v>
      </c>
      <c r="S122">
        <f>'CAPEX, Impostos e Abandono ($)'!AU1</f>
        <v>2038</v>
      </c>
      <c r="T122">
        <f>'CAPEX, Impostos e Abandono ($)'!AV1</f>
        <v>2039</v>
      </c>
      <c r="U122">
        <f>'CAPEX, Impostos e Abandono ($)'!AW1</f>
        <v>2040</v>
      </c>
      <c r="V122">
        <f>'CAPEX, Impostos e Abandono ($)'!AX1</f>
        <v>2041</v>
      </c>
      <c r="W122">
        <f>'CAPEX, Impostos e Abandono ($)'!AY1</f>
        <v>2042</v>
      </c>
      <c r="X122">
        <f>'CAPEX, Impostos e Abandono ($)'!AZ1</f>
        <v>2043</v>
      </c>
      <c r="Y122">
        <f>'CAPEX, Impostos e Abandono ($)'!BA1</f>
        <v>2044</v>
      </c>
      <c r="Z122">
        <f>'CAPEX, Impostos e Abandono ($)'!BB1</f>
        <v>2045</v>
      </c>
      <c r="AA122">
        <f>'CAPEX, Impostos e Abandono ($)'!BC1</f>
        <v>2046</v>
      </c>
      <c r="AB122">
        <f>'CAPEX, Impostos e Abandono ($)'!BD1</f>
        <v>2047</v>
      </c>
      <c r="AC122">
        <f>'CAPEX, Impostos e Abandono ($)'!BE1</f>
        <v>2048</v>
      </c>
      <c r="AD122">
        <f>'CAPEX, Impostos e Abandono ($)'!BF1</f>
        <v>2049</v>
      </c>
      <c r="AE122">
        <f>'CAPEX, Impostos e Abandono ($)'!BG1</f>
        <v>2050</v>
      </c>
      <c r="AF122">
        <f>'CAPEX, Impostos e Abandono ($)'!BH1</f>
        <v>2051</v>
      </c>
      <c r="AG122">
        <f>'CAPEX, Impostos e Abandono ($)'!BI1</f>
        <v>2052</v>
      </c>
      <c r="AH122">
        <f>'CAPEX, Impostos e Abandono ($)'!BJ1</f>
        <v>2053</v>
      </c>
      <c r="AI122">
        <f>'CAPEX, Impostos e Abandono ($)'!BK1</f>
        <v>2054</v>
      </c>
      <c r="AJ122">
        <f>'CAPEX, Impostos e Abandono ($)'!BL1</f>
        <v>2055</v>
      </c>
    </row>
    <row r="123" spans="1:46" x14ac:dyDescent="0.3">
      <c r="A123" t="s">
        <v>598</v>
      </c>
      <c r="B123" s="76">
        <v>-0.10254762989222277</v>
      </c>
      <c r="C123" s="76">
        <v>-9.5198759105202244E-2</v>
      </c>
      <c r="D123" s="76">
        <v>-9.2800422275836819E-2</v>
      </c>
      <c r="E123" s="76">
        <v>-9.7145811249954223E-2</v>
      </c>
      <c r="F123" s="76">
        <v>-9.544109916098506E-2</v>
      </c>
      <c r="G123" s="76">
        <v>-9.6514350886209244E-2</v>
      </c>
      <c r="H123" s="76">
        <v>-9.3968739993403438E-2</v>
      </c>
      <c r="I123" s="76">
        <v>-8.7396034755599289E-2</v>
      </c>
      <c r="J123" s="76">
        <v>-8.1978216241779076E-2</v>
      </c>
      <c r="K123" s="76">
        <v>-9.6772923705275682E-2</v>
      </c>
      <c r="L123" s="76">
        <v>-9.2678823530109741E-2</v>
      </c>
      <c r="M123" s="76">
        <v>-8.9275656752008326E-2</v>
      </c>
      <c r="N123" s="76">
        <v>-8.5753724612043197E-2</v>
      </c>
      <c r="O123" s="76">
        <v>-8.5846493523469541E-2</v>
      </c>
      <c r="P123" s="76">
        <v>-8.5821916438619056E-2</v>
      </c>
      <c r="Q123" s="76">
        <v>-8.5787961752289643E-2</v>
      </c>
      <c r="R123" s="76">
        <v>-8.6470793721278152E-2</v>
      </c>
      <c r="S123" s="76">
        <v>-8.6458695328341093E-2</v>
      </c>
      <c r="T123" s="76">
        <v>-8.6443163841620513E-2</v>
      </c>
      <c r="U123" s="76">
        <v>-8.6436800361186894E-2</v>
      </c>
      <c r="V123" s="76">
        <v>-8.6433944977818034E-2</v>
      </c>
      <c r="W123" s="76">
        <v>-8.6443333139628778E-2</v>
      </c>
      <c r="X123" s="76">
        <v>-8.6440885369292814E-2</v>
      </c>
      <c r="Y123" s="76">
        <v>-8.6447601048588688E-2</v>
      </c>
      <c r="Z123" s="76">
        <v>-8.6401077208235325E-2</v>
      </c>
      <c r="AA123" s="76">
        <v>-8.6415515317943878E-2</v>
      </c>
      <c r="AB123" s="76">
        <v>-8.634536044595148E-2</v>
      </c>
      <c r="AC123" s="76">
        <v>-8.6352798167282252E-2</v>
      </c>
      <c r="AD123" s="76">
        <v>-8.6424152578612773E-2</v>
      </c>
      <c r="AE123" s="76">
        <v>0</v>
      </c>
      <c r="AF123" s="76">
        <v>0</v>
      </c>
      <c r="AG123" s="76">
        <v>0</v>
      </c>
      <c r="AH123" s="76">
        <v>0</v>
      </c>
      <c r="AI123" s="76">
        <v>0</v>
      </c>
      <c r="AJ123" s="76">
        <v>0</v>
      </c>
    </row>
    <row r="124" spans="1:46" x14ac:dyDescent="0.3">
      <c r="A124" t="s">
        <v>599</v>
      </c>
      <c r="B124" s="76">
        <f ca="1">'CAPEX, Impostos e Abandono ($)'!AG$71</f>
        <v>-0.1048455144644876</v>
      </c>
      <c r="C124" s="76">
        <f ca="1">'CAPEX, Impostos e Abandono ($)'!AH$71</f>
        <v>-9.6299652398529265E-2</v>
      </c>
      <c r="D124" s="76">
        <f ca="1">'CAPEX, Impostos e Abandono ($)'!AI$71</f>
        <v>-0.1005583723519704</v>
      </c>
      <c r="E124" s="76">
        <f ca="1">'CAPEX, Impostos e Abandono ($)'!AJ$71</f>
        <v>-0.10847493160591691</v>
      </c>
      <c r="F124" s="76">
        <f ca="1">'CAPEX, Impostos e Abandono ($)'!AK$71</f>
        <v>-0.11129995854709392</v>
      </c>
      <c r="G124" s="76">
        <f ca="1">'CAPEX, Impostos e Abandono ($)'!AL$71</f>
        <v>-0.11643293981757732</v>
      </c>
      <c r="H124" s="76">
        <f ca="1">'CAPEX, Impostos e Abandono ($)'!AM$71</f>
        <v>-0.11105386530572317</v>
      </c>
      <c r="I124" s="76">
        <f ca="1">'CAPEX, Impostos e Abandono ($)'!AN$71</f>
        <v>-9.8691074842137516E-2</v>
      </c>
      <c r="J124" s="76">
        <f ca="1">'CAPEX, Impostos e Abandono ($)'!AO$71</f>
        <v>-9.1801269212573006E-2</v>
      </c>
      <c r="K124" s="76">
        <f ca="1">'CAPEX, Impostos e Abandono ($)'!AP$71</f>
        <v>-0.10213616313062882</v>
      </c>
      <c r="L124" s="76">
        <f ca="1">'CAPEX, Impostos e Abandono ($)'!AQ$71</f>
        <v>-9.7527399615283908E-2</v>
      </c>
      <c r="M124" s="76">
        <f ca="1">'CAPEX, Impostos e Abandono ($)'!AR$71</f>
        <v>-9.544843736507555E-2</v>
      </c>
      <c r="N124" s="76">
        <f ca="1">'CAPEX, Impostos e Abandono ($)'!AS$71</f>
        <v>-9.2060515241005308E-2</v>
      </c>
      <c r="O124" s="76">
        <f ca="1">'CAPEX, Impostos e Abandono ($)'!AT$71</f>
        <v>-8.8254751539578014E-2</v>
      </c>
      <c r="P124" s="76">
        <f ca="1">'CAPEX, Impostos e Abandono ($)'!AU$71</f>
        <v>-8.5642200906578619E-2</v>
      </c>
      <c r="Q124" s="76">
        <f ca="1">'CAPEX, Impostos e Abandono ($)'!AV$71</f>
        <v>-8.6126478523207803E-2</v>
      </c>
      <c r="R124" s="76">
        <f ca="1">'CAPEX, Impostos e Abandono ($)'!AW$71</f>
        <v>-8.6328376138738699E-2</v>
      </c>
      <c r="S124" s="76">
        <f ca="1">'CAPEX, Impostos e Abandono ($)'!AX$71</f>
        <v>-8.6325262476328851E-2</v>
      </c>
      <c r="T124" s="76">
        <f ca="1">'CAPEX, Impostos e Abandono ($)'!AY$71</f>
        <v>-8.6331495528463559E-2</v>
      </c>
      <c r="U124" s="76">
        <f ca="1">'CAPEX, Impostos e Abandono ($)'!AZ$71</f>
        <v>-8.6335553029435269E-2</v>
      </c>
      <c r="V124" s="76">
        <f ca="1">'CAPEX, Impostos e Abandono ($)'!BA$71</f>
        <v>-8.6347199803266272E-2</v>
      </c>
      <c r="W124" s="76">
        <f ca="1">'CAPEX, Impostos e Abandono ($)'!BB$71</f>
        <v>-8.6359618052122555E-2</v>
      </c>
      <c r="X124" s="76">
        <f ca="1">'CAPEX, Impostos e Abandono ($)'!BC$71</f>
        <v>-8.6370866040618027E-2</v>
      </c>
      <c r="Y124" s="76">
        <f ca="1">'CAPEX, Impostos e Abandono ($)'!BD$71</f>
        <v>-8.6375456137106524E-2</v>
      </c>
      <c r="Z124" s="76">
        <f ca="1">'CAPEX, Impostos e Abandono ($)'!BE$71</f>
        <v>-8.6399952723578685E-2</v>
      </c>
      <c r="AA124" s="76">
        <f ca="1">'CAPEX, Impostos e Abandono ($)'!BF$71</f>
        <v>-8.6411369064822108E-2</v>
      </c>
      <c r="AB124" s="76">
        <f ca="1">'CAPEX, Impostos e Abandono ($)'!BG$71</f>
        <v>-8.6416242864443313E-2</v>
      </c>
      <c r="AC124" s="76">
        <f ca="1">'CAPEX, Impostos e Abandono ($)'!BH$71</f>
        <v>-8.6411281369354789E-2</v>
      </c>
      <c r="AD124" s="76">
        <f ca="1">'CAPEX, Impostos e Abandono ($)'!BI$71</f>
        <v>-8.6506084238310313E-2</v>
      </c>
      <c r="AE124" s="76">
        <f ca="1">'CAPEX, Impostos e Abandono ($)'!BJ$71</f>
        <v>0</v>
      </c>
      <c r="AF124" s="76">
        <f ca="1">'CAPEX, Impostos e Abandono ($)'!BK$71</f>
        <v>0</v>
      </c>
      <c r="AG124" s="76">
        <f ca="1">'CAPEX, Impostos e Abandono ($)'!BL$71</f>
        <v>0</v>
      </c>
      <c r="AH124" s="76">
        <f ca="1">'CAPEX, Impostos e Abandono ($)'!BM$71</f>
        <v>0</v>
      </c>
      <c r="AI124" s="76">
        <f ca="1">'CAPEX, Impostos e Abandono ($)'!BN$71</f>
        <v>0</v>
      </c>
      <c r="AJ124" s="76">
        <f ca="1">'CAPEX, Impostos e Abandono ($)'!BO$71</f>
        <v>0</v>
      </c>
    </row>
    <row r="125" spans="1:46" x14ac:dyDescent="0.3">
      <c r="A125" t="s">
        <v>600</v>
      </c>
      <c r="B125" s="76">
        <v>-0.10732304512791434</v>
      </c>
      <c r="C125" s="76">
        <v>-9.7338226403491296E-2</v>
      </c>
      <c r="D125" s="76">
        <v>-0.10624176579231154</v>
      </c>
      <c r="E125" s="76">
        <v>-0.1196975311795562</v>
      </c>
      <c r="F125" s="76">
        <v>-0.12223840120325706</v>
      </c>
      <c r="G125" s="76">
        <v>-0.12852002013705549</v>
      </c>
      <c r="H125" s="76">
        <v>-0.12369326617565145</v>
      </c>
      <c r="I125" s="76">
        <v>-0.11037556490153574</v>
      </c>
      <c r="J125" s="76">
        <v>-9.9363861328438538E-2</v>
      </c>
      <c r="K125" s="76">
        <v>-0.10913042943247309</v>
      </c>
      <c r="L125" s="76">
        <v>-0.10112098359253292</v>
      </c>
      <c r="M125" s="76">
        <v>-9.935705343519971E-2</v>
      </c>
      <c r="N125" s="76">
        <v>-9.6182420347104391E-2</v>
      </c>
      <c r="O125" s="76">
        <v>-9.3053543923378543E-2</v>
      </c>
      <c r="P125" s="76">
        <v>-8.987134035024269E-2</v>
      </c>
      <c r="Q125" s="76">
        <v>-8.6897329242011198E-2</v>
      </c>
      <c r="R125" s="76">
        <v>-8.5557330682395127E-2</v>
      </c>
      <c r="S125" s="76">
        <v>-8.5604241486183619E-2</v>
      </c>
      <c r="T125" s="76">
        <v>-8.5658760713054172E-2</v>
      </c>
      <c r="U125" s="76">
        <v>-8.5670244915118141E-2</v>
      </c>
      <c r="V125" s="76">
        <v>-8.6125465214792002E-2</v>
      </c>
      <c r="W125" s="76">
        <v>-8.6161854378207808E-2</v>
      </c>
      <c r="X125" s="76">
        <v>-8.617173804252834E-2</v>
      </c>
      <c r="Y125" s="76">
        <v>-8.6170520452036312E-2</v>
      </c>
      <c r="Z125" s="76">
        <v>-8.6176132442930875E-2</v>
      </c>
      <c r="AA125" s="76">
        <v>-8.6432180672196615E-2</v>
      </c>
      <c r="AB125" s="76">
        <v>-8.6432883394493704E-2</v>
      </c>
      <c r="AC125" s="76">
        <v>-8.643230653986686E-2</v>
      </c>
      <c r="AD125" s="76">
        <v>-8.6504605243978488E-2</v>
      </c>
      <c r="AE125" s="76">
        <v>-8.7053082216799874E-2</v>
      </c>
      <c r="AF125" s="76">
        <v>-8.7037991286831873E-2</v>
      </c>
      <c r="AG125" s="76">
        <v>0</v>
      </c>
      <c r="AH125" s="76">
        <v>0</v>
      </c>
      <c r="AI125" s="76">
        <v>0</v>
      </c>
      <c r="AJ125" s="76">
        <v>0</v>
      </c>
    </row>
    <row r="138" spans="1:3" x14ac:dyDescent="0.3">
      <c r="A138" t="s">
        <v>619</v>
      </c>
    </row>
    <row r="140" spans="1:3" ht="9.6" customHeight="1" x14ac:dyDescent="0.3"/>
    <row r="141" spans="1:3" hidden="1" x14ac:dyDescent="0.3"/>
    <row r="142" spans="1:3" ht="42" customHeight="1" x14ac:dyDescent="0.3">
      <c r="A142" s="102" t="s">
        <v>1187</v>
      </c>
      <c r="B142" s="102" t="s">
        <v>635</v>
      </c>
      <c r="C142" s="102" t="s">
        <v>621</v>
      </c>
    </row>
    <row r="143" spans="1:3" x14ac:dyDescent="0.3">
      <c r="A143" s="122" t="s">
        <v>662</v>
      </c>
      <c r="B143" s="119">
        <v>5.04E-2</v>
      </c>
      <c r="C143" s="119">
        <v>5.04E-2</v>
      </c>
    </row>
    <row r="144" spans="1:3" x14ac:dyDescent="0.3">
      <c r="A144" s="123" t="s">
        <v>663</v>
      </c>
      <c r="B144" s="116">
        <v>4.6800000000000001E-2</v>
      </c>
      <c r="C144" s="116">
        <v>4.3212338156892516E-2</v>
      </c>
    </row>
    <row r="145" spans="1:7" x14ac:dyDescent="0.3">
      <c r="A145" s="122" t="s">
        <v>664</v>
      </c>
      <c r="B145" s="119">
        <v>4.4600000000000001E-2</v>
      </c>
      <c r="C145" s="119">
        <v>4.0213861127290196E-2</v>
      </c>
    </row>
    <row r="146" spans="1:7" x14ac:dyDescent="0.3">
      <c r="A146" s="123" t="s">
        <v>665</v>
      </c>
      <c r="B146" s="116" t="s">
        <v>620</v>
      </c>
      <c r="C146" s="116">
        <v>4.0355185985008202E-2</v>
      </c>
    </row>
    <row r="147" spans="1:7" x14ac:dyDescent="0.3">
      <c r="A147" s="122" t="s">
        <v>666</v>
      </c>
      <c r="B147" s="119">
        <v>4.2900000000000001E-2</v>
      </c>
      <c r="C147" s="119">
        <v>4.0355185985008202E-2</v>
      </c>
    </row>
    <row r="148" spans="1:7" x14ac:dyDescent="0.3">
      <c r="A148" s="123" t="s">
        <v>667</v>
      </c>
      <c r="B148" s="116" t="s">
        <v>620</v>
      </c>
      <c r="C148" s="116">
        <v>4.3250041952341833E-2</v>
      </c>
    </row>
    <row r="149" spans="1:7" x14ac:dyDescent="0.3">
      <c r="A149" s="122" t="s">
        <v>668</v>
      </c>
      <c r="B149" s="119">
        <v>4.2999999999999997E-2</v>
      </c>
      <c r="C149" s="119">
        <v>4.3250041952341833E-2</v>
      </c>
    </row>
    <row r="150" spans="1:7" x14ac:dyDescent="0.3">
      <c r="A150" s="123" t="s">
        <v>669</v>
      </c>
      <c r="B150" s="116" t="s">
        <v>620</v>
      </c>
      <c r="C150" s="116">
        <v>4.2666703950685614E-2</v>
      </c>
    </row>
    <row r="151" spans="1:7" x14ac:dyDescent="0.3">
      <c r="A151" s="122" t="s">
        <v>670</v>
      </c>
      <c r="B151" s="119">
        <v>4.2900000000000001E-2</v>
      </c>
      <c r="C151" s="119">
        <v>4.2666703950685614E-2</v>
      </c>
    </row>
    <row r="152" spans="1:7" x14ac:dyDescent="0.3">
      <c r="A152" s="123" t="s">
        <v>671</v>
      </c>
      <c r="B152" s="116" t="s">
        <v>620</v>
      </c>
      <c r="C152" s="116">
        <v>4.7905992904401451E-2</v>
      </c>
    </row>
    <row r="153" spans="1:7" x14ac:dyDescent="0.3">
      <c r="A153" s="122" t="s">
        <v>672</v>
      </c>
      <c r="B153" s="119">
        <v>4.5400000000000003E-2</v>
      </c>
      <c r="C153" s="119">
        <v>4.7905992904401451E-2</v>
      </c>
    </row>
    <row r="154" spans="1:7" x14ac:dyDescent="0.3">
      <c r="A154" s="123" t="s">
        <v>673</v>
      </c>
      <c r="B154" s="116" t="s">
        <v>620</v>
      </c>
      <c r="C154" s="116">
        <v>4.2402868799912063E-2</v>
      </c>
    </row>
    <row r="155" spans="1:7" x14ac:dyDescent="0.3">
      <c r="A155" s="122" t="s">
        <v>674</v>
      </c>
      <c r="B155" s="119">
        <v>4.4400000000000002E-2</v>
      </c>
      <c r="C155" s="119">
        <v>4.2402868799912063E-2</v>
      </c>
    </row>
    <row r="159" spans="1:7" ht="20.399999999999999" customHeight="1" x14ac:dyDescent="0.3">
      <c r="A159" s="113" t="s">
        <v>622</v>
      </c>
      <c r="B159" s="102">
        <v>2024</v>
      </c>
      <c r="C159" s="102">
        <v>2025</v>
      </c>
      <c r="D159" s="102">
        <v>2026</v>
      </c>
      <c r="E159" s="102">
        <v>2027</v>
      </c>
      <c r="F159" s="102">
        <v>2028</v>
      </c>
      <c r="G159" s="102" t="str">
        <f>"2029-2065"</f>
        <v>2029-2065</v>
      </c>
    </row>
    <row r="160" spans="1:7" x14ac:dyDescent="0.3">
      <c r="A160" s="121" t="s">
        <v>6</v>
      </c>
      <c r="B160" s="138">
        <f>SUMIFS('Drivers Macroeconômico'!$I:$I,'Drivers Macroeconômico'!$H:$H,'Gráficos - Monografia'!B$159)</f>
        <v>3.7718000000000002E-2</v>
      </c>
      <c r="C160" s="138">
        <f>SUMIFS('Drivers Macroeconômico'!$I:$I,'Drivers Macroeconômico'!$H:$H,'Gráficos - Monografia'!C$159)</f>
        <v>3.5049999999999998E-2</v>
      </c>
      <c r="D160" s="138">
        <f>SUMIFS('Drivers Macroeconômico'!$I:$I,'Drivers Macroeconômico'!$H:$H,'Gráficos - Monografia'!D$159)</f>
        <v>3.5000000000000003E-2</v>
      </c>
      <c r="E160" s="138">
        <f>SUMIFS('Drivers Macroeconômico'!$I:$I,'Drivers Macroeconômico'!$H:$H,'Gráficos - Monografia'!E$159)</f>
        <v>3.5000000000000003E-2</v>
      </c>
      <c r="F160" s="138">
        <f>SUMIFS('Drivers Macroeconômico'!$I:$I,'Drivers Macroeconômico'!$H:$H,'Gráficos - Monografia'!F$159)</f>
        <v>3.5000000000000003E-2</v>
      </c>
      <c r="G160" s="138">
        <v>0.03</v>
      </c>
    </row>
    <row r="161" spans="1:44" x14ac:dyDescent="0.3">
      <c r="A161" s="124" t="s">
        <v>623</v>
      </c>
      <c r="B161" s="139">
        <f>SUMIFS('Drivers Macroeconômico'!$J:$J,'Drivers Macroeconômico'!$H:$H,'Gráficos - Monografia'!B$159)</f>
        <v>2.7E-2</v>
      </c>
      <c r="C161" s="139">
        <f>SUMIFS('Drivers Macroeconômico'!$J:$J,'Drivers Macroeconômico'!$H:$H,'Gráficos - Monografia'!C$159)</f>
        <v>0.02</v>
      </c>
      <c r="D161" s="139">
        <f>SUMIFS('Drivers Macroeconômico'!$J:$J,'Drivers Macroeconômico'!$H:$H,'Gráficos - Monografia'!D$159)</f>
        <v>0.02</v>
      </c>
      <c r="E161" s="139">
        <f>SUMIFS('Drivers Macroeconômico'!$J:$J,'Drivers Macroeconômico'!$H:$H,'Gráficos - Monografia'!E$159)</f>
        <v>0.02</v>
      </c>
      <c r="F161" s="139">
        <f>SUMIFS('Drivers Macroeconômico'!$J:$J,'Drivers Macroeconômico'!$H:$H,'Gráficos - Monografia'!F$159)</f>
        <v>0.02</v>
      </c>
      <c r="G161" s="139">
        <f>F161</f>
        <v>0.02</v>
      </c>
    </row>
    <row r="162" spans="1:44" ht="42.6" customHeight="1" x14ac:dyDescent="0.3">
      <c r="A162" s="137" t="s">
        <v>624</v>
      </c>
      <c r="B162" s="140">
        <f>SUMIFS('Drivers Macroeconômico'!$K:$K,'Drivers Macroeconômico'!$H:$H,'Gráficos - Monografia'!B$159)</f>
        <v>4.9326999999999996</v>
      </c>
      <c r="C162" s="140">
        <f>SUMIFS('Drivers Macroeconômico'!$K:$K,'Drivers Macroeconômico'!$H:$H,'Gráficos - Monografia'!C$159)</f>
        <v>5</v>
      </c>
      <c r="D162" s="140">
        <f>SUMIFS('Drivers Macroeconômico'!$K:$K,'Drivers Macroeconômico'!$H:$H,'Gráficos - Monografia'!D$159)</f>
        <v>5.04</v>
      </c>
      <c r="E162" s="140">
        <f>SUMIFS('Drivers Macroeconômico'!$K:$K,'Drivers Macroeconômico'!$H:$H,'Gráficos - Monografia'!E$159)</f>
        <v>5.0999999999999996</v>
      </c>
      <c r="F162" s="140">
        <f>SUMIFS('Drivers Macroeconômico'!$K:$K,'Drivers Macroeconômico'!$H:$H,'Gráficos - Monografia'!F$159)</f>
        <v>5.0999999999999996</v>
      </c>
      <c r="G162" s="141" t="s">
        <v>627</v>
      </c>
    </row>
    <row r="163" spans="1:44" x14ac:dyDescent="0.3">
      <c r="A163" s="124" t="s">
        <v>636</v>
      </c>
      <c r="B163" s="139">
        <f>SUMIFS('Drivers Macroeconômico'!$L:$L,'Drivers Macroeconômico'!$H:$H,'Gráficos - Monografia'!B$159)</f>
        <v>0.09</v>
      </c>
      <c r="C163" s="139">
        <f>SUMIFS('Drivers Macroeconômico'!$L:$L,'Drivers Macroeconômico'!$H:$H,'Gráficos - Monografia'!C$159)</f>
        <v>8.5000000000000006E-2</v>
      </c>
      <c r="D163" s="139">
        <f>SUMIFS('Drivers Macroeconômico'!$L:$L,'Drivers Macroeconômico'!$H:$H,'Gráficos - Monografia'!D$159)</f>
        <v>8.5000000000000006E-2</v>
      </c>
      <c r="E163" s="139">
        <f>SUMIFS('Drivers Macroeconômico'!$L:$L,'Drivers Macroeconômico'!$H:$H,'Gráficos - Monografia'!E$159)</f>
        <v>8.5000000000000006E-2</v>
      </c>
      <c r="F163" s="139">
        <f>SUMIFS('Drivers Macroeconômico'!$L:$L,'Drivers Macroeconômico'!$H:$H,'Gráficos - Monografia'!F$159)</f>
        <v>8.5000000000000006E-2</v>
      </c>
      <c r="G163" s="139">
        <f>F163</f>
        <v>8.5000000000000006E-2</v>
      </c>
    </row>
    <row r="169" spans="1:44" x14ac:dyDescent="0.3">
      <c r="B169">
        <v>2024</v>
      </c>
      <c r="C169">
        <v>2025</v>
      </c>
      <c r="D169">
        <v>2026</v>
      </c>
      <c r="E169">
        <v>2027</v>
      </c>
      <c r="F169">
        <v>2028</v>
      </c>
      <c r="G169">
        <v>2029</v>
      </c>
      <c r="H169">
        <v>2030</v>
      </c>
      <c r="I169">
        <v>2031</v>
      </c>
      <c r="J169">
        <v>2032</v>
      </c>
      <c r="K169">
        <v>2033</v>
      </c>
      <c r="L169">
        <v>2034</v>
      </c>
      <c r="M169">
        <v>2035</v>
      </c>
      <c r="N169">
        <v>2036</v>
      </c>
      <c r="O169">
        <v>2037</v>
      </c>
      <c r="P169">
        <v>2038</v>
      </c>
      <c r="Q169">
        <v>2039</v>
      </c>
      <c r="R169">
        <v>2040</v>
      </c>
      <c r="S169">
        <v>2041</v>
      </c>
      <c r="T169">
        <v>2042</v>
      </c>
      <c r="U169">
        <v>2043</v>
      </c>
      <c r="V169">
        <v>2044</v>
      </c>
      <c r="W169">
        <v>2045</v>
      </c>
      <c r="X169">
        <v>2046</v>
      </c>
      <c r="Y169">
        <v>2047</v>
      </c>
      <c r="Z169">
        <v>2048</v>
      </c>
      <c r="AA169">
        <v>2049</v>
      </c>
      <c r="AB169">
        <v>2050</v>
      </c>
      <c r="AC169">
        <v>2051</v>
      </c>
      <c r="AD169">
        <v>2052</v>
      </c>
      <c r="AE169">
        <v>2053</v>
      </c>
      <c r="AF169">
        <v>2054</v>
      </c>
      <c r="AG169">
        <v>2055</v>
      </c>
      <c r="AH169">
        <v>2056</v>
      </c>
      <c r="AI169">
        <v>2057</v>
      </c>
      <c r="AJ169">
        <v>2058</v>
      </c>
      <c r="AK169">
        <v>2059</v>
      </c>
      <c r="AL169">
        <v>2060</v>
      </c>
      <c r="AM169">
        <v>2061</v>
      </c>
      <c r="AN169">
        <v>2062</v>
      </c>
      <c r="AO169">
        <v>2063</v>
      </c>
      <c r="AP169">
        <v>2064</v>
      </c>
      <c r="AQ169">
        <v>2065</v>
      </c>
      <c r="AR169">
        <v>2066</v>
      </c>
    </row>
    <row r="170" spans="1:44" x14ac:dyDescent="0.3">
      <c r="A170" t="s">
        <v>631</v>
      </c>
      <c r="B170" s="1">
        <f ca="1">SUMIFS('Fluxo de Caixa dos Acionistas'!$16:$16,'Fluxo de Caixa dos Acionistas'!$1:$1,B169)/1000</f>
        <v>16390.386780871981</v>
      </c>
      <c r="C170" s="1">
        <f ca="1">SUMIFS('Fluxo de Caixa dos Acionistas'!$16:$16,'Fluxo de Caixa dos Acionistas'!$1:$1,C169)/1000</f>
        <v>20323.351780034314</v>
      </c>
      <c r="D170" s="1">
        <f ca="1">SUMIFS('Fluxo de Caixa dos Acionistas'!$16:$16,'Fluxo de Caixa dos Acionistas'!$1:$1,D169)/1000</f>
        <v>20721.904899899655</v>
      </c>
      <c r="E170" s="1">
        <f ca="1">SUMIFS('Fluxo de Caixa dos Acionistas'!$16:$16,'Fluxo de Caixa dos Acionistas'!$1:$1,E169)/1000</f>
        <v>21323.319094521969</v>
      </c>
      <c r="F170" s="1">
        <f ca="1">SUMIFS('Fluxo de Caixa dos Acionistas'!$16:$16,'Fluxo de Caixa dos Acionistas'!$1:$1,F169)/1000</f>
        <v>20553.244297288333</v>
      </c>
      <c r="G170" s="1">
        <f ca="1">SUMIFS('Fluxo de Caixa dos Acionistas'!$16:$16,'Fluxo de Caixa dos Acionistas'!$1:$1,G169)/1000</f>
        <v>20781.192835271839</v>
      </c>
      <c r="H170" s="1">
        <f ca="1">SUMIFS('Fluxo de Caixa dos Acionistas'!$16:$16,'Fluxo de Caixa dos Acionistas'!$1:$1,H169)/1000</f>
        <v>18961.693826721908</v>
      </c>
      <c r="I170" s="1">
        <f ca="1">SUMIFS('Fluxo de Caixa dos Acionistas'!$16:$16,'Fluxo de Caixa dos Acionistas'!$1:$1,I169)/1000</f>
        <v>16224.666620542246</v>
      </c>
      <c r="J170" s="1">
        <f ca="1">SUMIFS('Fluxo de Caixa dos Acionistas'!$16:$16,'Fluxo de Caixa dos Acionistas'!$1:$1,J169)/1000</f>
        <v>14451.927383099908</v>
      </c>
      <c r="K170" s="1">
        <f ca="1">SUMIFS('Fluxo de Caixa dos Acionistas'!$16:$16,'Fluxo de Caixa dos Acionistas'!$1:$1,K169)/1000</f>
        <v>13007.420420359002</v>
      </c>
      <c r="L170" s="1">
        <f ca="1">SUMIFS('Fluxo de Caixa dos Acionistas'!$16:$16,'Fluxo de Caixa dos Acionistas'!$1:$1,L169)/1000</f>
        <v>11798.203427187698</v>
      </c>
      <c r="M170" s="1">
        <f ca="1">SUMIFS('Fluxo de Caixa dos Acionistas'!$16:$16,'Fluxo de Caixa dos Acionistas'!$1:$1,M169)/1000</f>
        <v>10570.288890776379</v>
      </c>
      <c r="N170" s="1">
        <f ca="1">SUMIFS('Fluxo de Caixa dos Acionistas'!$16:$16,'Fluxo de Caixa dos Acionistas'!$1:$1,N169)/1000</f>
        <v>9331.6657179269641</v>
      </c>
      <c r="O170" s="1">
        <f ca="1">SUMIFS('Fluxo de Caixa dos Acionistas'!$16:$16,'Fluxo de Caixa dos Acionistas'!$1:$1,O169)/1000</f>
        <v>8275.1517275991773</v>
      </c>
      <c r="P170" s="1">
        <f ca="1">SUMIFS('Fluxo de Caixa dos Acionistas'!$16:$16,'Fluxo de Caixa dos Acionistas'!$1:$1,P169)/1000</f>
        <v>7515.5600073167261</v>
      </c>
      <c r="Q170" s="1">
        <f ca="1">SUMIFS('Fluxo de Caixa dos Acionistas'!$16:$16,'Fluxo de Caixa dos Acionistas'!$1:$1,Q169)/1000</f>
        <v>6860.5560599817354</v>
      </c>
      <c r="R170" s="1">
        <f ca="1">SUMIFS('Fluxo de Caixa dos Acionistas'!$16:$16,'Fluxo de Caixa dos Acionistas'!$1:$1,R169)/1000</f>
        <v>5568.6999780870374</v>
      </c>
      <c r="S170" s="1">
        <f ca="1">SUMIFS('Fluxo de Caixa dos Acionistas'!$16:$16,'Fluxo de Caixa dos Acionistas'!$1:$1,S169)/1000</f>
        <v>5025.6528041598413</v>
      </c>
      <c r="T170" s="1">
        <f ca="1">SUMIFS('Fluxo de Caixa dos Acionistas'!$16:$16,'Fluxo de Caixa dos Acionistas'!$1:$1,T169)/1000</f>
        <v>4549.1959123823272</v>
      </c>
      <c r="U170" s="1">
        <f ca="1">SUMIFS('Fluxo de Caixa dos Acionistas'!$16:$16,'Fluxo de Caixa dos Acionistas'!$1:$1,U169)/1000</f>
        <v>4098.5154558692993</v>
      </c>
      <c r="V170" s="1">
        <f ca="1">SUMIFS('Fluxo de Caixa dos Acionistas'!$16:$16,'Fluxo de Caixa dos Acionistas'!$1:$1,V169)/1000</f>
        <v>3749.8191320893975</v>
      </c>
      <c r="W170" s="1">
        <f ca="1">SUMIFS('Fluxo de Caixa dos Acionistas'!$16:$16,'Fluxo de Caixa dos Acionistas'!$1:$1,W169)/1000</f>
        <v>3355.8032444751461</v>
      </c>
      <c r="X170" s="1">
        <f ca="1">SUMIFS('Fluxo de Caixa dos Acionistas'!$16:$16,'Fluxo de Caixa dos Acionistas'!$1:$1,X169)/1000</f>
        <v>3132.2871289879899</v>
      </c>
      <c r="Y170" s="1">
        <f ca="1">SUMIFS('Fluxo de Caixa dos Acionistas'!$16:$16,'Fluxo de Caixa dos Acionistas'!$1:$1,Y169)/1000</f>
        <v>2957.7798214273544</v>
      </c>
      <c r="Z170" s="1">
        <f ca="1">SUMIFS('Fluxo de Caixa dos Acionistas'!$16:$16,'Fluxo de Caixa dos Acionistas'!$1:$1,Z169)/1000</f>
        <v>2810.6305580406165</v>
      </c>
      <c r="AA170" s="1">
        <f ca="1">SUMIFS('Fluxo de Caixa dos Acionistas'!$16:$16,'Fluxo de Caixa dos Acionistas'!$1:$1,AA169)/1000</f>
        <v>2536.8832537542439</v>
      </c>
      <c r="AB170" s="1">
        <f ca="1">SUMIFS('Fluxo de Caixa dos Acionistas'!$16:$16,'Fluxo de Caixa dos Acionistas'!$1:$1,AB169)/1000</f>
        <v>2382.4964886306102</v>
      </c>
      <c r="AC170" s="1">
        <f ca="1">SUMIFS('Fluxo de Caixa dos Acionistas'!$16:$16,'Fluxo de Caixa dos Acionistas'!$1:$1,AC169)/1000</f>
        <v>2285.0377475453388</v>
      </c>
      <c r="AD170" s="1">
        <f ca="1">SUMIFS('Fluxo de Caixa dos Acionistas'!$16:$16,'Fluxo de Caixa dos Acionistas'!$1:$1,AD169)/1000</f>
        <v>1476.5591882033877</v>
      </c>
      <c r="AE170" s="1">
        <f ca="1">SUMIFS('Fluxo de Caixa dos Acionistas'!$16:$16,'Fluxo de Caixa dos Acionistas'!$1:$1,AE169)/1000</f>
        <v>0</v>
      </c>
      <c r="AF170" s="1">
        <f ca="1">SUMIFS('Fluxo de Caixa dos Acionistas'!$16:$16,'Fluxo de Caixa dos Acionistas'!$1:$1,AF169)/1000</f>
        <v>0</v>
      </c>
      <c r="AG170" s="1">
        <f ca="1">SUMIFS('Fluxo de Caixa dos Acionistas'!$16:$16,'Fluxo de Caixa dos Acionistas'!$1:$1,AG169)/1000</f>
        <v>0</v>
      </c>
      <c r="AH170" s="1">
        <f ca="1">SUMIFS('Fluxo de Caixa dos Acionistas'!$16:$16,'Fluxo de Caixa dos Acionistas'!$1:$1,AH169)/1000</f>
        <v>0</v>
      </c>
      <c r="AI170" s="1">
        <f ca="1">SUMIFS('Fluxo de Caixa dos Acionistas'!$16:$16,'Fluxo de Caixa dos Acionistas'!$1:$1,AI169)/1000</f>
        <v>0</v>
      </c>
      <c r="AJ170" s="1">
        <f ca="1">SUMIFS('Fluxo de Caixa dos Acionistas'!$16:$16,'Fluxo de Caixa dos Acionistas'!$1:$1,AJ169)/1000</f>
        <v>0</v>
      </c>
      <c r="AK170" s="1">
        <f ca="1">SUMIFS('Fluxo de Caixa dos Acionistas'!$16:$16,'Fluxo de Caixa dos Acionistas'!$1:$1,AK169)/1000</f>
        <v>0</v>
      </c>
      <c r="AL170" s="1">
        <f ca="1">SUMIFS('Fluxo de Caixa dos Acionistas'!$16:$16,'Fluxo de Caixa dos Acionistas'!$1:$1,AL169)/1000</f>
        <v>0</v>
      </c>
      <c r="AM170" s="1">
        <f ca="1">SUMIFS('Fluxo de Caixa dos Acionistas'!$16:$16,'Fluxo de Caixa dos Acionistas'!$1:$1,AM169)/1000</f>
        <v>0</v>
      </c>
      <c r="AN170" s="1">
        <f ca="1">SUMIFS('Fluxo de Caixa dos Acionistas'!$16:$16,'Fluxo de Caixa dos Acionistas'!$1:$1,AN169)/1000</f>
        <v>0</v>
      </c>
      <c r="AO170" s="1">
        <f ca="1">SUMIFS('Fluxo de Caixa dos Acionistas'!$16:$16,'Fluxo de Caixa dos Acionistas'!$1:$1,AO169)/1000</f>
        <v>0</v>
      </c>
      <c r="AP170" s="1">
        <f ca="1">SUMIFS('Fluxo de Caixa dos Acionistas'!$16:$16,'Fluxo de Caixa dos Acionistas'!$1:$1,AP169)/1000</f>
        <v>0</v>
      </c>
      <c r="AQ170" s="1">
        <f ca="1">SUMIFS('Fluxo de Caixa dos Acionistas'!$16:$16,'Fluxo de Caixa dos Acionistas'!$1:$1,AQ169)/1000</f>
        <v>0</v>
      </c>
    </row>
    <row r="171" spans="1:44" x14ac:dyDescent="0.3">
      <c r="A171" t="s">
        <v>632</v>
      </c>
      <c r="B171" s="1">
        <f ca="1">SUMIFS('Fluxo de Caixa dos Acionistas'!$17:$17,'Fluxo de Caixa dos Acionistas'!$1:$1,B169)/1000</f>
        <v>-4812.1486665140801</v>
      </c>
      <c r="C171" s="1">
        <f ca="1">SUMIFS('Fluxo de Caixa dos Acionistas'!$17:$17,'Fluxo de Caixa dos Acionistas'!$1:$1,C169)/1000</f>
        <v>-5929.6246703844481</v>
      </c>
      <c r="D171" s="1">
        <f ca="1">SUMIFS('Fluxo de Caixa dos Acionistas'!$17:$17,'Fluxo de Caixa dos Acionistas'!$1:$1,D169)/1000</f>
        <v>-6613.9573832003116</v>
      </c>
      <c r="E171" s="1">
        <f ca="1">SUMIFS('Fluxo de Caixa dos Acionistas'!$17:$17,'Fluxo de Caixa dos Acionistas'!$1:$1,E169)/1000</f>
        <v>-7232.5122764203661</v>
      </c>
      <c r="F171" s="1">
        <f ca="1">SUMIFS('Fluxo de Caixa dos Acionistas'!$17:$17,'Fluxo de Caixa dos Acionistas'!$1:$1,F169)/1000</f>
        <v>-7525.6889450110584</v>
      </c>
      <c r="G171" s="1">
        <f ca="1">SUMIFS('Fluxo de Caixa dos Acionistas'!$17:$17,'Fluxo de Caixa dos Acionistas'!$1:$1,G169)/1000</f>
        <v>-7715.4924389519192</v>
      </c>
      <c r="H171" s="1">
        <f ca="1">SUMIFS('Fluxo de Caixa dos Acionistas'!$17:$17,'Fluxo de Caixa dos Acionistas'!$1:$1,H169)/1000</f>
        <v>-6977.1184605563749</v>
      </c>
      <c r="I171" s="1">
        <f ca="1">SUMIFS('Fluxo de Caixa dos Acionistas'!$17:$17,'Fluxo de Caixa dos Acionistas'!$1:$1,I169)/1000</f>
        <v>-5803.3502774851249</v>
      </c>
      <c r="J171" s="1">
        <f ca="1">SUMIFS('Fluxo de Caixa dos Acionistas'!$17:$17,'Fluxo de Caixa dos Acionistas'!$1:$1,J169)/1000</f>
        <v>-5015.0832489032009</v>
      </c>
      <c r="K171" s="1">
        <f ca="1">SUMIFS('Fluxo de Caixa dos Acionistas'!$17:$17,'Fluxo de Caixa dos Acionistas'!$1:$1,K169)/1000</f>
        <v>-4606.0943976703329</v>
      </c>
      <c r="L171" s="1">
        <f ca="1">SUMIFS('Fluxo de Caixa dos Acionistas'!$17:$17,'Fluxo de Caixa dos Acionistas'!$1:$1,L169)/1000</f>
        <v>-4062.5871657171369</v>
      </c>
      <c r="M171" s="1">
        <f ca="1">SUMIFS('Fluxo de Caixa dos Acionistas'!$17:$17,'Fluxo de Caixa dos Acionistas'!$1:$1,M169)/1000</f>
        <v>-3560.9600994159318</v>
      </c>
      <c r="N171" s="1">
        <f ca="1">SUMIFS('Fluxo de Caixa dos Acionistas'!$17:$17,'Fluxo de Caixa dos Acionistas'!$1:$1,N169)/1000</f>
        <v>-3083.651457799438</v>
      </c>
      <c r="O171" s="1">
        <f ca="1">SUMIFS('Fluxo de Caixa dos Acionistas'!$17:$17,'Fluxo de Caixa dos Acionistas'!$1:$1,O169)/1000</f>
        <v>-2702.4183428097294</v>
      </c>
      <c r="P171" s="1">
        <f ca="1">SUMIFS('Fluxo de Caixa dos Acionistas'!$17:$17,'Fluxo de Caixa dos Acionistas'!$1:$1,P169)/1000</f>
        <v>-2387.0742940274672</v>
      </c>
      <c r="Q171" s="1">
        <f ca="1">SUMIFS('Fluxo de Caixa dos Acionistas'!$17:$17,'Fluxo de Caixa dos Acionistas'!$1:$1,Q169)/1000</f>
        <v>-2042.705787543834</v>
      </c>
      <c r="R171" s="1">
        <f ca="1">SUMIFS('Fluxo de Caixa dos Acionistas'!$17:$17,'Fluxo de Caixa dos Acionistas'!$1:$1,R169)/1000</f>
        <v>-1686.2910214034544</v>
      </c>
      <c r="S171" s="1">
        <f ca="1">SUMIFS('Fluxo de Caixa dos Acionistas'!$17:$17,'Fluxo de Caixa dos Acionistas'!$1:$1,S169)/1000</f>
        <v>-1506.49614636927</v>
      </c>
      <c r="T171" s="1">
        <f ca="1">SUMIFS('Fluxo de Caixa dos Acionistas'!$17:$17,'Fluxo de Caixa dos Acionistas'!$1:$1,T169)/1000</f>
        <v>-1346.8391855099601</v>
      </c>
      <c r="U171" s="1">
        <f ca="1">SUMIFS('Fluxo de Caixa dos Acionistas'!$17:$17,'Fluxo de Caixa dos Acionistas'!$1:$1,U169)/1000</f>
        <v>-1209.3197947711819</v>
      </c>
      <c r="V171" s="1">
        <f ca="1">SUMIFS('Fluxo de Caixa dos Acionistas'!$17:$17,'Fluxo de Caixa dos Acionistas'!$1:$1,V169)/1000</f>
        <v>-1089.2741624015898</v>
      </c>
      <c r="W171" s="1">
        <f ca="1">SUMIFS('Fluxo de Caixa dos Acionistas'!$17:$17,'Fluxo de Caixa dos Acionistas'!$1:$1,W169)/1000</f>
        <v>-988.11392484361261</v>
      </c>
      <c r="X171" s="1">
        <f ca="1">SUMIFS('Fluxo de Caixa dos Acionistas'!$17:$17,'Fluxo de Caixa dos Acionistas'!$1:$1,X169)/1000</f>
        <v>-937.44445955153651</v>
      </c>
      <c r="Y171" s="1">
        <f ca="1">SUMIFS('Fluxo de Caixa dos Acionistas'!$17:$17,'Fluxo de Caixa dos Acionistas'!$1:$1,Y169)/1000</f>
        <v>-910.40617220954346</v>
      </c>
      <c r="Z171" s="1">
        <f ca="1">SUMIFS('Fluxo de Caixa dos Acionistas'!$17:$17,'Fluxo de Caixa dos Acionistas'!$1:$1,Z169)/1000</f>
        <v>-875.55178020418407</v>
      </c>
      <c r="AA171" s="1">
        <f ca="1">SUMIFS('Fluxo de Caixa dos Acionistas'!$17:$17,'Fluxo de Caixa dos Acionistas'!$1:$1,AA169)/1000</f>
        <v>-856.00441010669908</v>
      </c>
      <c r="AB171" s="1">
        <f ca="1">SUMIFS('Fluxo de Caixa dos Acionistas'!$17:$17,'Fluxo de Caixa dos Acionistas'!$1:$1,AB169)/1000</f>
        <v>-927.0743376356188</v>
      </c>
      <c r="AC171" s="1">
        <f ca="1">SUMIFS('Fluxo de Caixa dos Acionistas'!$17:$17,'Fluxo de Caixa dos Acionistas'!$1:$1,AC169)/1000</f>
        <v>-632.27801955430641</v>
      </c>
      <c r="AD171" s="1">
        <f ca="1">SUMIFS('Fluxo de Caixa dos Acionistas'!$17:$17,'Fluxo de Caixa dos Acionistas'!$1:$1,AD169)/1000</f>
        <v>-1.9040216479907539</v>
      </c>
      <c r="AE171" s="1">
        <f ca="1">SUMIFS('Fluxo de Caixa dos Acionistas'!$17:$17,'Fluxo de Caixa dos Acionistas'!$1:$1,AE169)/1000</f>
        <v>0</v>
      </c>
      <c r="AF171" s="1">
        <f ca="1">SUMIFS('Fluxo de Caixa dos Acionistas'!$17:$17,'Fluxo de Caixa dos Acionistas'!$1:$1,AF169)/1000</f>
        <v>0</v>
      </c>
      <c r="AG171" s="1">
        <f ca="1">SUMIFS('Fluxo de Caixa dos Acionistas'!$17:$17,'Fluxo de Caixa dos Acionistas'!$1:$1,AG169)/1000</f>
        <v>0</v>
      </c>
      <c r="AH171" s="1">
        <f ca="1">SUMIFS('Fluxo de Caixa dos Acionistas'!$17:$17,'Fluxo de Caixa dos Acionistas'!$1:$1,AH169)/1000</f>
        <v>0</v>
      </c>
      <c r="AI171" s="1">
        <f ca="1">SUMIFS('Fluxo de Caixa dos Acionistas'!$17:$17,'Fluxo de Caixa dos Acionistas'!$1:$1,AI169)/1000</f>
        <v>0</v>
      </c>
      <c r="AJ171" s="1">
        <f ca="1">SUMIFS('Fluxo de Caixa dos Acionistas'!$17:$17,'Fluxo de Caixa dos Acionistas'!$1:$1,AJ169)/1000</f>
        <v>0</v>
      </c>
      <c r="AK171" s="1">
        <f ca="1">SUMIFS('Fluxo de Caixa dos Acionistas'!$17:$17,'Fluxo de Caixa dos Acionistas'!$1:$1,AK169)/1000</f>
        <v>0</v>
      </c>
      <c r="AL171" s="1">
        <f ca="1">SUMIFS('Fluxo de Caixa dos Acionistas'!$17:$17,'Fluxo de Caixa dos Acionistas'!$1:$1,AL169)/1000</f>
        <v>0</v>
      </c>
      <c r="AM171" s="1">
        <f ca="1">SUMIFS('Fluxo de Caixa dos Acionistas'!$17:$17,'Fluxo de Caixa dos Acionistas'!$1:$1,AM169)/1000</f>
        <v>0</v>
      </c>
      <c r="AN171" s="1">
        <f ca="1">SUMIFS('Fluxo de Caixa dos Acionistas'!$17:$17,'Fluxo de Caixa dos Acionistas'!$1:$1,AN169)/1000</f>
        <v>0</v>
      </c>
      <c r="AO171" s="1">
        <f ca="1">SUMIFS('Fluxo de Caixa dos Acionistas'!$17:$17,'Fluxo de Caixa dos Acionistas'!$1:$1,AO169)/1000</f>
        <v>0</v>
      </c>
      <c r="AP171" s="1">
        <f ca="1">SUMIFS('Fluxo de Caixa dos Acionistas'!$17:$17,'Fluxo de Caixa dos Acionistas'!$1:$1,AP169)/1000</f>
        <v>0</v>
      </c>
      <c r="AQ171" s="1">
        <f ca="1">SUMIFS('Fluxo de Caixa dos Acionistas'!$17:$17,'Fluxo de Caixa dos Acionistas'!$1:$1,AQ169)/1000</f>
        <v>0</v>
      </c>
    </row>
    <row r="172" spans="1:44" x14ac:dyDescent="0.3">
      <c r="A172" t="s">
        <v>638</v>
      </c>
      <c r="B172" s="1">
        <f ca="1">SUMIFS('Fluxo de Caixa dos Acionistas'!$27:$27,'Fluxo de Caixa dos Acionistas'!$1:$1,B169)/1000</f>
        <v>-781.1641074364461</v>
      </c>
      <c r="C172" s="1">
        <f ca="1">SUMIFS('Fluxo de Caixa dos Acionistas'!$27:$27,'Fluxo de Caixa dos Acionistas'!$1:$1,C169)/1000</f>
        <v>-968.60880500361225</v>
      </c>
      <c r="D172" s="1">
        <f ca="1">SUMIFS('Fluxo de Caixa dos Acionistas'!$27:$27,'Fluxo de Caixa dos Acionistas'!$1:$1,D169)/1000</f>
        <v>-1002.6853817559345</v>
      </c>
      <c r="E172" s="1">
        <f ca="1">SUMIFS('Fluxo de Caixa dos Acionistas'!$27:$27,'Fluxo de Caixa dos Acionistas'!$1:$1,E169)/1000</f>
        <v>-1037.7793701173921</v>
      </c>
      <c r="F172" s="1">
        <f ca="1">SUMIFS('Fluxo de Caixa dos Acionistas'!$27:$27,'Fluxo de Caixa dos Acionistas'!$1:$1,F169)/1000</f>
        <v>-1071.4625776831185</v>
      </c>
      <c r="G172" s="1">
        <f ca="1">SUMIFS('Fluxo de Caixa dos Acionistas'!$27:$27,'Fluxo de Caixa dos Acionistas'!$1:$1,G169)/1000</f>
        <v>-1103.6064550136125</v>
      </c>
      <c r="H172" s="1">
        <f ca="1">SUMIFS('Fluxo de Caixa dos Acionistas'!$27:$27,'Fluxo de Caixa dos Acionistas'!$1:$1,H169)/1000</f>
        <v>-1136.7146486640211</v>
      </c>
      <c r="I172" s="1">
        <f ca="1">SUMIFS('Fluxo de Caixa dos Acionistas'!$27:$27,'Fluxo de Caixa dos Acionistas'!$1:$1,I169)/1000</f>
        <v>-1170.8160881239421</v>
      </c>
      <c r="J172" s="1">
        <f ca="1">SUMIFS('Fluxo de Caixa dos Acionistas'!$27:$27,'Fluxo de Caixa dos Acionistas'!$1:$1,J169)/1000</f>
        <v>-1205.9405707676606</v>
      </c>
      <c r="K172" s="1">
        <f ca="1">SUMIFS('Fluxo de Caixa dos Acionistas'!$27:$27,'Fluxo de Caixa dos Acionistas'!$1:$1,K169)/1000</f>
        <v>-1242.1187878906908</v>
      </c>
      <c r="L172" s="1">
        <f ca="1">SUMIFS('Fluxo de Caixa dos Acionistas'!$27:$27,'Fluxo de Caixa dos Acionistas'!$1:$1,L169)/1000</f>
        <v>-1279.3823515274119</v>
      </c>
      <c r="M172" s="1">
        <f ca="1">SUMIFS('Fluxo de Caixa dos Acionistas'!$27:$27,'Fluxo de Caixa dos Acionistas'!$1:$1,M169)/1000</f>
        <v>-1317.7638220732347</v>
      </c>
      <c r="N172" s="1">
        <f ca="1">SUMIFS('Fluxo de Caixa dos Acionistas'!$27:$27,'Fluxo de Caixa dos Acionistas'!$1:$1,N169)/1000</f>
        <v>-1357.2967367354322</v>
      </c>
      <c r="O172" s="1">
        <f ca="1">SUMIFS('Fluxo de Caixa dos Acionistas'!$27:$27,'Fluxo de Caixa dos Acionistas'!$1:$1,O169)/1000</f>
        <v>-1398.0156388374955</v>
      </c>
      <c r="P172" s="1">
        <f ca="1">SUMIFS('Fluxo de Caixa dos Acionistas'!$27:$27,'Fluxo de Caixa dos Acionistas'!$1:$1,P169)/1000</f>
        <v>-1333.8309869013071</v>
      </c>
      <c r="Q172" s="1">
        <f ca="1">SUMIFS('Fluxo de Caixa dos Acionistas'!$27:$27,'Fluxo de Caixa dos Acionistas'!$1:$1,Q169)/1000</f>
        <v>-1217.5835534901532</v>
      </c>
      <c r="R172" s="1">
        <f ca="1">SUMIFS('Fluxo de Caixa dos Acionistas'!$27:$27,'Fluxo de Caixa dos Acionistas'!$1:$1,R169)/1000</f>
        <v>-988.31019648541508</v>
      </c>
      <c r="S172" s="1">
        <f ca="1">SUMIFS('Fluxo de Caixa dos Acionistas'!$27:$27,'Fluxo de Caixa dos Acionistas'!$1:$1,S169)/1000</f>
        <v>-891.93239533312453</v>
      </c>
      <c r="T172" s="1">
        <f ca="1">SUMIFS('Fluxo de Caixa dos Acionistas'!$27:$27,'Fluxo de Caixa dos Acionistas'!$1:$1,T169)/1000</f>
        <v>-807.37276630257566</v>
      </c>
      <c r="U172" s="1">
        <f ca="1">SUMIFS('Fluxo de Caixa dos Acionistas'!$27:$27,'Fluxo de Caixa dos Acionistas'!$1:$1,U169)/1000</f>
        <v>-727.38783404168305</v>
      </c>
      <c r="V172" s="1">
        <f ca="1">SUMIFS('Fluxo de Caixa dos Acionistas'!$27:$27,'Fluxo de Caixa dos Acionistas'!$1:$1,V169)/1000</f>
        <v>-665.50263038108983</v>
      </c>
      <c r="W172" s="1">
        <f ca="1">SUMIFS('Fluxo de Caixa dos Acionistas'!$27:$27,'Fluxo de Caixa dos Acionistas'!$1:$1,W169)/1000</f>
        <v>-595.57429507145696</v>
      </c>
      <c r="X172" s="1">
        <f ca="1">SUMIFS('Fluxo de Caixa dos Acionistas'!$27:$27,'Fluxo de Caixa dos Acionistas'!$1:$1,X169)/1000</f>
        <v>-555.90556504756842</v>
      </c>
      <c r="Y172" s="1">
        <f ca="1">SUMIFS('Fluxo de Caixa dos Acionistas'!$27:$27,'Fluxo de Caixa dos Acionistas'!$1:$1,Y169)/1000</f>
        <v>-524.93471869167661</v>
      </c>
      <c r="Z172" s="1">
        <f ca="1">SUMIFS('Fluxo de Caixa dos Acionistas'!$27:$27,'Fluxo de Caixa dos Acionistas'!$1:$1,Z169)/1000</f>
        <v>-498.81926661440571</v>
      </c>
      <c r="AA172" s="1">
        <f ca="1">SUMIFS('Fluxo de Caixa dos Acionistas'!$27:$27,'Fluxo de Caixa dos Acionistas'!$1:$1,AA169)/1000</f>
        <v>-450.23570974274315</v>
      </c>
      <c r="AB172" s="1">
        <f ca="1">SUMIFS('Fluxo de Caixa dos Acionistas'!$27:$27,'Fluxo de Caixa dos Acionistas'!$1:$1,AB169)/1000</f>
        <v>-422.83577532815809</v>
      </c>
      <c r="AC172" s="1">
        <f ca="1">SUMIFS('Fluxo de Caixa dos Acionistas'!$27:$27,'Fluxo de Caixa dos Acionistas'!$1:$1,AC169)/1000</f>
        <v>-405.53919481022302</v>
      </c>
      <c r="AD172" s="1">
        <f ca="1">SUMIFS('Fluxo de Caixa dos Acionistas'!$27:$27,'Fluxo de Caixa dos Acionistas'!$1:$1,AD169)/1000</f>
        <v>-262.05371220536358</v>
      </c>
      <c r="AE172" s="1">
        <f ca="1">SUMIFS('Fluxo de Caixa dos Acionistas'!$27:$27,'Fluxo de Caixa dos Acionistas'!$1:$1,AE169)/1000</f>
        <v>0</v>
      </c>
      <c r="AF172" s="1">
        <f ca="1">SUMIFS('Fluxo de Caixa dos Acionistas'!$27:$27,'Fluxo de Caixa dos Acionistas'!$1:$1,AF169)/1000</f>
        <v>0</v>
      </c>
      <c r="AG172" s="1">
        <f ca="1">SUMIFS('Fluxo de Caixa dos Acionistas'!$27:$27,'Fluxo de Caixa dos Acionistas'!$1:$1,AG169)/1000</f>
        <v>0</v>
      </c>
      <c r="AH172" s="1">
        <f ca="1">SUMIFS('Fluxo de Caixa dos Acionistas'!$27:$27,'Fluxo de Caixa dos Acionistas'!$1:$1,AH169)/1000</f>
        <v>0</v>
      </c>
      <c r="AI172" s="1">
        <f ca="1">SUMIFS('Fluxo de Caixa dos Acionistas'!$27:$27,'Fluxo de Caixa dos Acionistas'!$1:$1,AI169)/1000</f>
        <v>0</v>
      </c>
      <c r="AJ172" s="1">
        <f ca="1">SUMIFS('Fluxo de Caixa dos Acionistas'!$27:$27,'Fluxo de Caixa dos Acionistas'!$1:$1,AJ169)/1000</f>
        <v>0</v>
      </c>
      <c r="AK172" s="1">
        <f ca="1">SUMIFS('Fluxo de Caixa dos Acionistas'!$27:$27,'Fluxo de Caixa dos Acionistas'!$1:$1,AK169)/1000</f>
        <v>0</v>
      </c>
      <c r="AL172" s="1">
        <f ca="1">SUMIFS('Fluxo de Caixa dos Acionistas'!$27:$27,'Fluxo de Caixa dos Acionistas'!$1:$1,AL169)/1000</f>
        <v>0</v>
      </c>
      <c r="AM172" s="1">
        <f ca="1">SUMIFS('Fluxo de Caixa dos Acionistas'!$27:$27,'Fluxo de Caixa dos Acionistas'!$1:$1,AM169)/1000</f>
        <v>0</v>
      </c>
      <c r="AN172" s="1">
        <f ca="1">SUMIFS('Fluxo de Caixa dos Acionistas'!$27:$27,'Fluxo de Caixa dos Acionistas'!$1:$1,AN169)/1000</f>
        <v>0</v>
      </c>
      <c r="AO172" s="1">
        <f ca="1">SUMIFS('Fluxo de Caixa dos Acionistas'!$27:$27,'Fluxo de Caixa dos Acionistas'!$1:$1,AO169)/1000</f>
        <v>0</v>
      </c>
      <c r="AP172" s="1">
        <f ca="1">SUMIFS('Fluxo de Caixa dos Acionistas'!$27:$27,'Fluxo de Caixa dos Acionistas'!$1:$1,AP169)/1000</f>
        <v>0</v>
      </c>
      <c r="AQ172" s="1">
        <f ca="1">SUMIFS('Fluxo de Caixa dos Acionistas'!$27:$27,'Fluxo de Caixa dos Acionistas'!$1:$1,AQ169)/1000</f>
        <v>0</v>
      </c>
    </row>
    <row r="173" spans="1:44" x14ac:dyDescent="0.3">
      <c r="A173" t="s">
        <v>603</v>
      </c>
      <c r="B173" s="1">
        <f ca="1">SUMIFS('Fluxo de Caixa dos Acionistas'!42:42,'Fluxo de Caixa dos Acionistas'!$1:$1,B$169)/1000</f>
        <v>-606.71034994196043</v>
      </c>
      <c r="C173" s="1">
        <f ca="1">SUMIFS('Fluxo de Caixa dos Acionistas'!42:42,'Fluxo de Caixa dos Acionistas'!$1:$1,C$169)/1000</f>
        <v>-752.2938924692171</v>
      </c>
      <c r="D173" s="1">
        <f ca="1">SUMIFS('Fluxo de Caixa dos Acionistas'!42:42,'Fluxo de Caixa dos Acionistas'!$1:$1,D$169)/1000</f>
        <v>-767.04682698240106</v>
      </c>
      <c r="E173" s="1">
        <f ca="1">SUMIFS('Fluxo de Caixa dos Acionistas'!42:42,'Fluxo de Caixa dos Acionistas'!$1:$1,E$169)/1000</f>
        <v>-789.3089139823976</v>
      </c>
      <c r="F173" s="1">
        <f ca="1">SUMIFS('Fluxo de Caixa dos Acionistas'!42:42,'Fluxo de Caixa dos Acionistas'!$1:$1,F$169)/1000</f>
        <v>-760.80364708678349</v>
      </c>
      <c r="G173" s="1">
        <f ca="1">SUMIFS('Fluxo de Caixa dos Acionistas'!42:42,'Fluxo de Caixa dos Acionistas'!$1:$1,G$169)/1000</f>
        <v>-769.24144291782079</v>
      </c>
      <c r="H173" s="1">
        <f ca="1">SUMIFS('Fluxo de Caixa dos Acionistas'!42:42,'Fluxo de Caixa dos Acionistas'!$1:$1,H$169)/1000</f>
        <v>-701.89044657131171</v>
      </c>
      <c r="I173" s="1">
        <f ca="1">SUMIFS('Fluxo de Caixa dos Acionistas'!42:42,'Fluxo de Caixa dos Acionistas'!$1:$1,I$169)/1000</f>
        <v>-600.57601413827888</v>
      </c>
      <c r="J173" s="1">
        <f ca="1">SUMIFS('Fluxo de Caixa dos Acionistas'!42:42,'Fluxo de Caixa dos Acionistas'!$1:$1,J$169)/1000</f>
        <v>-534.95588829965823</v>
      </c>
      <c r="K173" s="1">
        <f ca="1">SUMIFS('Fluxo de Caixa dos Acionistas'!42:42,'Fluxo de Caixa dos Acionistas'!$1:$1,K$169)/1000</f>
        <v>-481.48568429685133</v>
      </c>
      <c r="L173" s="1">
        <f ca="1">SUMIFS('Fluxo de Caixa dos Acionistas'!42:42,'Fluxo de Caixa dos Acionistas'!$1:$1,L$169)/1000</f>
        <v>-436.72502825553636</v>
      </c>
      <c r="M173" s="1">
        <f ca="1">SUMIFS('Fluxo de Caixa dos Acionistas'!42:42,'Fluxo de Caixa dos Acionistas'!$1:$1,M$169)/1000</f>
        <v>-391.27225962689403</v>
      </c>
      <c r="N173" s="1">
        <f ca="1">SUMIFS('Fluxo de Caixa dos Acionistas'!42:42,'Fluxo de Caixa dos Acionistas'!$1:$1,N$169)/1000</f>
        <v>-345.42309763379853</v>
      </c>
      <c r="O173" s="1">
        <f ca="1">SUMIFS('Fluxo de Caixa dos Acionistas'!42:42,'Fluxo de Caixa dos Acionistas'!$1:$1,O$169)/1000</f>
        <v>-306.3149312823852</v>
      </c>
      <c r="P173" s="1">
        <f ca="1">SUMIFS('Fluxo de Caixa dos Acionistas'!42:42,'Fluxo de Caixa dos Acionistas'!$1:$1,P$169)/1000</f>
        <v>-278.19770838906038</v>
      </c>
      <c r="Q173" s="1">
        <f ca="1">SUMIFS('Fluxo de Caixa dos Acionistas'!42:42,'Fluxo de Caixa dos Acionistas'!$1:$1,Q$169)/1000</f>
        <v>-253.95193070157154</v>
      </c>
      <c r="R173" s="1">
        <f ca="1">SUMIFS('Fluxo de Caixa dos Acionistas'!42:42,'Fluxo de Caixa dos Acionistas'!$1:$1,R$169)/1000</f>
        <v>-206.1322870287525</v>
      </c>
      <c r="S173" s="1">
        <f ca="1">SUMIFS('Fluxo de Caixa dos Acionistas'!42:42,'Fluxo de Caixa dos Acionistas'!$1:$1,S$169)/1000</f>
        <v>-186.03072717338259</v>
      </c>
      <c r="T173" s="1">
        <f ca="1">SUMIFS('Fluxo de Caixa dos Acionistas'!42:42,'Fluxo de Caixa dos Acionistas'!$1:$1,T$169)/1000</f>
        <v>-168.39408861156727</v>
      </c>
      <c r="U173" s="1">
        <f ca="1">SUMIFS('Fluxo de Caixa dos Acionistas'!42:42,'Fluxo de Caixa dos Acionistas'!$1:$1,U$169)/1000</f>
        <v>-151.71159654236703</v>
      </c>
      <c r="V173" s="1">
        <f ca="1">SUMIFS('Fluxo de Caixa dos Acionistas'!42:42,'Fluxo de Caixa dos Acionistas'!$1:$1,V$169)/1000</f>
        <v>-138.80417273032663</v>
      </c>
      <c r="W173" s="1">
        <f ca="1">SUMIFS('Fluxo de Caixa dos Acionistas'!42:42,'Fluxo de Caixa dos Acionistas'!$1:$1,W$169)/1000</f>
        <v>-124.2191894560993</v>
      </c>
      <c r="X173" s="1">
        <f ca="1">SUMIFS('Fluxo de Caixa dos Acionistas'!42:42,'Fluxo de Caixa dos Acionistas'!$1:$1,X$169)/1000</f>
        <v>-115.94546520188339</v>
      </c>
      <c r="Y173" s="1">
        <f ca="1">SUMIFS('Fluxo de Caixa dos Acionistas'!42:42,'Fluxo de Caixa dos Acionistas'!$1:$1,Y$169)/1000</f>
        <v>-109.4858623228896</v>
      </c>
      <c r="Z173" s="1">
        <f ca="1">SUMIFS('Fluxo de Caixa dos Acionistas'!42:42,'Fluxo de Caixa dos Acionistas'!$1:$1,Z$169)/1000</f>
        <v>-104.03895113789804</v>
      </c>
      <c r="AA173" s="1">
        <f ca="1">SUMIFS('Fluxo de Caixa dos Acionistas'!42:42,'Fluxo de Caixa dos Acionistas'!$1:$1,AA$169)/1000</f>
        <v>-93.905857575208003</v>
      </c>
      <c r="AB173" s="1">
        <f ca="1">SUMIFS('Fluxo de Caixa dos Acionistas'!42:42,'Fluxo de Caixa dos Acionistas'!$1:$1,AB$169)/1000</f>
        <v>-88.191041351110101</v>
      </c>
      <c r="AC173" s="1">
        <f ca="1">SUMIFS('Fluxo de Caixa dos Acionistas'!42:42,'Fluxo de Caixa dos Acionistas'!$1:$1,AC$169)/1000</f>
        <v>-84.583486038397581</v>
      </c>
      <c r="AD173" s="1">
        <f ca="1">SUMIFS('Fluxo de Caixa dos Acionistas'!42:42,'Fluxo de Caixa dos Acionistas'!$1:$1,AD$169)/1000</f>
        <v>-54.656656597656863</v>
      </c>
      <c r="AE173" s="1">
        <f ca="1">SUMIFS('Fluxo de Caixa dos Acionistas'!42:42,'Fluxo de Caixa dos Acionistas'!$1:$1,AE$169)/1000</f>
        <v>0</v>
      </c>
      <c r="AF173" s="1">
        <f ca="1">SUMIFS('Fluxo de Caixa dos Acionistas'!42:42,'Fluxo de Caixa dos Acionistas'!$1:$1,AF$169)/1000</f>
        <v>0</v>
      </c>
      <c r="AG173" s="1">
        <f ca="1">SUMIFS('Fluxo de Caixa dos Acionistas'!42:42,'Fluxo de Caixa dos Acionistas'!$1:$1,AG$169)/1000</f>
        <v>0</v>
      </c>
      <c r="AH173" s="1">
        <f ca="1">SUMIFS('Fluxo de Caixa dos Acionistas'!42:42,'Fluxo de Caixa dos Acionistas'!$1:$1,AH$169)/1000</f>
        <v>0</v>
      </c>
      <c r="AI173" s="1">
        <f ca="1">SUMIFS('Fluxo de Caixa dos Acionistas'!42:42,'Fluxo de Caixa dos Acionistas'!$1:$1,AI$169)/1000</f>
        <v>0</v>
      </c>
      <c r="AJ173" s="1">
        <f ca="1">SUMIFS('Fluxo de Caixa dos Acionistas'!42:42,'Fluxo de Caixa dos Acionistas'!$1:$1,AJ$169)/1000</f>
        <v>0</v>
      </c>
      <c r="AK173" s="1">
        <f ca="1">SUMIFS('Fluxo de Caixa dos Acionistas'!42:42,'Fluxo de Caixa dos Acionistas'!$1:$1,AK$169)/1000</f>
        <v>0</v>
      </c>
      <c r="AL173" s="1">
        <f ca="1">SUMIFS('Fluxo de Caixa dos Acionistas'!42:42,'Fluxo de Caixa dos Acionistas'!$1:$1,AL$169)/1000</f>
        <v>0</v>
      </c>
      <c r="AM173" s="1">
        <f ca="1">SUMIFS('Fluxo de Caixa dos Acionistas'!42:42,'Fluxo de Caixa dos Acionistas'!$1:$1,AM$169)/1000</f>
        <v>0</v>
      </c>
      <c r="AN173" s="1">
        <f ca="1">SUMIFS('Fluxo de Caixa dos Acionistas'!42:42,'Fluxo de Caixa dos Acionistas'!$1:$1,AN$169)/1000</f>
        <v>0</v>
      </c>
      <c r="AO173" s="1">
        <f ca="1">SUMIFS('Fluxo de Caixa dos Acionistas'!42:42,'Fluxo de Caixa dos Acionistas'!$1:$1,AO$169)/1000</f>
        <v>0</v>
      </c>
      <c r="AP173" s="1">
        <f ca="1">SUMIFS('Fluxo de Caixa dos Acionistas'!42:42,'Fluxo de Caixa dos Acionistas'!$1:$1,AP$169)/1000</f>
        <v>0</v>
      </c>
      <c r="AQ173" s="1">
        <f ca="1">SUMIFS('Fluxo de Caixa dos Acionistas'!42:42,'Fluxo de Caixa dos Acionistas'!$1:$1,AQ$169)/1000</f>
        <v>0</v>
      </c>
    </row>
    <row r="174" spans="1:44" x14ac:dyDescent="0.3">
      <c r="A174" t="s">
        <v>98</v>
      </c>
      <c r="B174" s="1">
        <f ca="1">SUMIFS('Fluxo de Caixa dos Acionistas'!$45:$45,'Fluxo de Caixa dos Acionistas'!$1:$1,B$169)/1000</f>
        <v>-311.56733934736405</v>
      </c>
      <c r="C174" s="1">
        <f ca="1">SUMIFS('Fluxo de Caixa dos Acionistas'!$45:$45,'Fluxo de Caixa dos Acionistas'!$1:$1,C$169)/1000</f>
        <v>222.26858108767311</v>
      </c>
      <c r="D174" s="1">
        <f ca="1">SUMIFS('Fluxo de Caixa dos Acionistas'!$45:$45,'Fluxo de Caixa dos Acionistas'!$1:$1,D$169)/1000</f>
        <v>124.52827915828009</v>
      </c>
      <c r="E174" s="1">
        <f ca="1">SUMIFS('Fluxo de Caixa dos Acionistas'!$45:$45,'Fluxo de Caixa dos Acionistas'!$1:$1,E$169)/1000</f>
        <v>167.51869219870528</v>
      </c>
      <c r="F174" s="1">
        <f ca="1">SUMIFS('Fluxo de Caixa dos Acionistas'!$45:$45,'Fluxo de Caixa dos Acionistas'!$1:$1,F$169)/1000</f>
        <v>169.43670827938641</v>
      </c>
      <c r="G174" s="1">
        <f ca="1">SUMIFS('Fluxo de Caixa dos Acionistas'!$45:$45,'Fluxo de Caixa dos Acionistas'!$1:$1,G$169)/1000</f>
        <v>171.92155362573834</v>
      </c>
      <c r="H174" s="1">
        <f ca="1">SUMIFS('Fluxo de Caixa dos Acionistas'!$45:$45,'Fluxo de Caixa dos Acionistas'!$1:$1,H$169)/1000</f>
        <v>173.82827288767115</v>
      </c>
      <c r="I174" s="1">
        <f ca="1">SUMIFS('Fluxo de Caixa dos Acionistas'!$45:$45,'Fluxo de Caixa dos Acionistas'!$1:$1,I$169)/1000</f>
        <v>155.84240972997529</v>
      </c>
      <c r="J174" s="1">
        <f ca="1">SUMIFS('Fluxo de Caixa dos Acionistas'!$45:$45,'Fluxo de Caixa dos Acionistas'!$1:$1,J$169)/1000</f>
        <v>133.34732468085258</v>
      </c>
      <c r="K174" s="1">
        <f ca="1">SUMIFS('Fluxo de Caixa dos Acionistas'!$45:$45,'Fluxo de Caixa dos Acionistas'!$1:$1,K$169)/1000</f>
        <v>118.77753164914797</v>
      </c>
      <c r="L174" s="1">
        <f ca="1">SUMIFS('Fluxo de Caixa dos Acionistas'!$45:$45,'Fluxo de Caixa dos Acionistas'!$1:$1,L$169)/1000</f>
        <v>123.94926549949027</v>
      </c>
      <c r="M174" s="1">
        <f ca="1">SUMIFS('Fluxo de Caixa dos Acionistas'!$45:$45,'Fluxo de Caixa dos Acionistas'!$1:$1,M$169)/1000</f>
        <v>112.42649209097479</v>
      </c>
      <c r="N174" s="1">
        <f ca="1">SUMIFS('Fluxo de Caixa dos Acionistas'!$45:$45,'Fluxo de Caixa dos Acionistas'!$1:$1,N$169)/1000</f>
        <v>100.72554755579984</v>
      </c>
      <c r="O174" s="1">
        <f ca="1">SUMIFS('Fluxo de Caixa dos Acionistas'!$45:$45,'Fluxo de Caixa dos Acionistas'!$1:$1,O$169)/1000</f>
        <v>88.9225591427371</v>
      </c>
      <c r="P174" s="1">
        <f ca="1">SUMIFS('Fluxo de Caixa dos Acionistas'!$45:$45,'Fluxo de Caixa dos Acionistas'!$1:$1,P$169)/1000</f>
        <v>78.854910918951191</v>
      </c>
      <c r="Q174" s="1">
        <f ca="1">SUMIFS('Fluxo de Caixa dos Acionistas'!$45:$45,'Fluxo de Caixa dos Acionistas'!$1:$1,Q$169)/1000</f>
        <v>71.616670532629755</v>
      </c>
      <c r="R174" s="1">
        <f ca="1">SUMIFS('Fluxo de Caixa dos Acionistas'!$45:$45,'Fluxo de Caixa dos Acionistas'!$1:$1,R$169)/1000</f>
        <v>65.375059548459205</v>
      </c>
      <c r="S174" s="1">
        <f ca="1">SUMIFS('Fluxo de Caixa dos Acionistas'!$45:$45,'Fluxo de Caixa dos Acionistas'!$1:$1,S$169)/1000</f>
        <v>53.064808375884382</v>
      </c>
      <c r="T174" s="1">
        <f ca="1">SUMIFS('Fluxo de Caixa dos Acionistas'!$45:$45,'Fluxo de Caixa dos Acionistas'!$1:$1,T$169)/1000</f>
        <v>47.890046880938087</v>
      </c>
      <c r="U174" s="1">
        <f ca="1">SUMIFS('Fluxo de Caixa dos Acionistas'!$45:$45,'Fluxo de Caixa dos Acionistas'!$1:$1,U$169)/1000</f>
        <v>43.349832152000999</v>
      </c>
      <c r="V174" s="1">
        <f ca="1">SUMIFS('Fluxo de Caixa dos Acionistas'!$45:$45,'Fluxo de Caixa dos Acionistas'!$1:$1,V$169)/1000</f>
        <v>33.414452254262372</v>
      </c>
      <c r="W174" s="1">
        <f ca="1">SUMIFS('Fluxo de Caixa dos Acionistas'!$45:$45,'Fluxo de Caixa dos Acionistas'!$1:$1,W$169)/1000</f>
        <v>30.571594446932473</v>
      </c>
      <c r="X174" s="1">
        <f ca="1">SUMIFS('Fluxo de Caixa dos Acionistas'!$45:$45,'Fluxo de Caixa dos Acionistas'!$1:$1,X$169)/1000</f>
        <v>27.359254465329464</v>
      </c>
      <c r="Y174" s="1">
        <f ca="1">SUMIFS('Fluxo de Caixa dos Acionistas'!$45:$45,'Fluxo de Caixa dos Acionistas'!$1:$1,Y$169)/1000</f>
        <v>25.53696816449132</v>
      </c>
      <c r="Z174" s="1">
        <f ca="1">SUMIFS('Fluxo de Caixa dos Acionistas'!$45:$45,'Fluxo de Caixa dos Acionistas'!$1:$1,Z$169)/1000</f>
        <v>24.114241775072806</v>
      </c>
      <c r="AA174" s="1">
        <f ca="1">SUMIFS('Fluxo de Caixa dos Acionistas'!$45:$45,'Fluxo de Caixa dos Acionistas'!$1:$1,AA$169)/1000</f>
        <v>22.914560551803444</v>
      </c>
      <c r="AB174" s="1">
        <f ca="1">SUMIFS('Fluxo de Caixa dos Acionistas'!$45:$45,'Fluxo de Caixa dos Acionistas'!$1:$1,AB$169)/1000</f>
        <v>20.682748490265105</v>
      </c>
      <c r="AC174" s="1">
        <f ca="1">SUMIFS('Fluxo de Caixa dos Acionistas'!$45:$45,'Fluxo de Caixa dos Acionistas'!$1:$1,AC$169)/1000</f>
        <v>19.424061229606934</v>
      </c>
      <c r="AD174" s="1">
        <f ca="1">SUMIFS('Fluxo de Caixa dos Acionistas'!$45:$45,'Fluxo de Caixa dos Acionistas'!$1:$1,AD$169)/1000</f>
        <v>18.62949781126208</v>
      </c>
      <c r="AE174" s="1">
        <f ca="1">SUMIFS('Fluxo de Caixa dos Acionistas'!$45:$45,'Fluxo de Caixa dos Acionistas'!$1:$1,AE$169)/1000</f>
        <v>0</v>
      </c>
      <c r="AF174" s="1">
        <f ca="1">SUMIFS('Fluxo de Caixa dos Acionistas'!$45:$45,'Fluxo de Caixa dos Acionistas'!$1:$1,AF$169)/1000</f>
        <v>0</v>
      </c>
      <c r="AG174" s="1">
        <f ca="1">SUMIFS('Fluxo de Caixa dos Acionistas'!$45:$45,'Fluxo de Caixa dos Acionistas'!$1:$1,AG$169)/1000</f>
        <v>0</v>
      </c>
      <c r="AH174" s="1">
        <f ca="1">SUMIFS('Fluxo de Caixa dos Acionistas'!$45:$45,'Fluxo de Caixa dos Acionistas'!$1:$1,AH$169)/1000</f>
        <v>0</v>
      </c>
      <c r="AI174" s="1">
        <f ca="1">SUMIFS('Fluxo de Caixa dos Acionistas'!$45:$45,'Fluxo de Caixa dos Acionistas'!$1:$1,AI$169)/1000</f>
        <v>0</v>
      </c>
      <c r="AJ174" s="1">
        <f ca="1">SUMIFS('Fluxo de Caixa dos Acionistas'!$45:$45,'Fluxo de Caixa dos Acionistas'!$1:$1,AJ$169)/1000</f>
        <v>0</v>
      </c>
      <c r="AK174" s="1">
        <f ca="1">SUMIFS('Fluxo de Caixa dos Acionistas'!$45:$45,'Fluxo de Caixa dos Acionistas'!$1:$1,AK$169)/1000</f>
        <v>0</v>
      </c>
      <c r="AL174" s="1">
        <f ca="1">SUMIFS('Fluxo de Caixa dos Acionistas'!$45:$45,'Fluxo de Caixa dos Acionistas'!$1:$1,AL$169)/1000</f>
        <v>0</v>
      </c>
      <c r="AM174" s="1">
        <f ca="1">SUMIFS('Fluxo de Caixa dos Acionistas'!$45:$45,'Fluxo de Caixa dos Acionistas'!$1:$1,AM$169)/1000</f>
        <v>0</v>
      </c>
      <c r="AN174" s="1">
        <f ca="1">SUMIFS('Fluxo de Caixa dos Acionistas'!$45:$45,'Fluxo de Caixa dos Acionistas'!$1:$1,AN$169)/1000</f>
        <v>0</v>
      </c>
      <c r="AO174" s="1">
        <f ca="1">SUMIFS('Fluxo de Caixa dos Acionistas'!$45:$45,'Fluxo de Caixa dos Acionistas'!$1:$1,AO$169)/1000</f>
        <v>0</v>
      </c>
      <c r="AP174" s="1">
        <f ca="1">SUMIFS('Fluxo de Caixa dos Acionistas'!$45:$45,'Fluxo de Caixa dos Acionistas'!$1:$1,AP$169)/1000</f>
        <v>0</v>
      </c>
      <c r="AQ174" s="1">
        <f ca="1">SUMIFS('Fluxo de Caixa dos Acionistas'!$45:$45,'Fluxo de Caixa dos Acionistas'!$1:$1,AQ$169)/1000</f>
        <v>0</v>
      </c>
    </row>
    <row r="175" spans="1:44" x14ac:dyDescent="0.3">
      <c r="A175" t="s">
        <v>639</v>
      </c>
      <c r="B175" s="1">
        <f ca="1">SUMIFS('Fluxo de Caixa dos Acionistas'!$52:$52,'Fluxo de Caixa dos Acionistas'!$1:$1,B$169)/1000</f>
        <v>-3358.7907479949245</v>
      </c>
      <c r="C175" s="1">
        <f ca="1">SUMIFS('Fluxo de Caixa dos Acionistas'!$52:$52,'Fluxo de Caixa dos Acionistas'!$1:$1,C$169)/1000</f>
        <v>-4384.3316177100014</v>
      </c>
      <c r="D175" s="1">
        <f ca="1">SUMIFS('Fluxo de Caixa dos Acionistas'!$52:$52,'Fluxo de Caixa dos Acionistas'!$1:$1,D$169)/1000</f>
        <v>-4237.3328196205575</v>
      </c>
      <c r="E175" s="1">
        <f ca="1">SUMIFS('Fluxo de Caixa dos Acionistas'!$52:$52,'Fluxo de Caixa dos Acionistas'!$1:$1,E$169)/1000</f>
        <v>-4226.6206569081769</v>
      </c>
      <c r="F175" s="1">
        <f ca="1">SUMIFS('Fluxo de Caixa dos Acionistas'!$52:$52,'Fluxo de Caixa dos Acionistas'!$1:$1,F$169)/1000</f>
        <v>-3864.0067841674972</v>
      </c>
      <c r="G175" s="1">
        <f ca="1">SUMIFS('Fluxo de Caixa dos Acionistas'!$52:$52,'Fluxo de Caixa dos Acionistas'!$1:$1,G$169)/1000</f>
        <v>-3864.0231776848368</v>
      </c>
      <c r="H175" s="1">
        <f ca="1">SUMIFS('Fluxo de Caixa dos Acionistas'!$52:$52,'Fluxo de Caixa dos Acionistas'!$1:$1,H$169)/1000</f>
        <v>-3508.7315048980759</v>
      </c>
      <c r="I175" s="1">
        <f ca="1">SUMIFS('Fluxo de Caixa dos Acionistas'!$52:$52,'Fluxo de Caixa dos Acionistas'!$1:$1,I$169)/1000</f>
        <v>-2993.9606611784584</v>
      </c>
      <c r="J175" s="1">
        <f ca="1">SUMIFS('Fluxo de Caixa dos Acionistas'!$52:$52,'Fluxo de Caixa dos Acionistas'!$1:$1,J$169)/1000</f>
        <v>-2661.960299935482</v>
      </c>
      <c r="K175" s="1">
        <f ca="1">SUMIFS('Fluxo de Caixa dos Acionistas'!$52:$52,'Fluxo de Caixa dos Acionistas'!$1:$1,K$169)/1000</f>
        <v>-2310.8096879310933</v>
      </c>
      <c r="L175" s="1">
        <f ca="1">SUMIFS('Fluxo de Caixa dos Acionistas'!$52:$52,'Fluxo de Caixa dos Acionistas'!$1:$1,L$169)/1000</f>
        <v>-2088.775770043615</v>
      </c>
      <c r="M175" s="1">
        <f ca="1">SUMIFS('Fluxo de Caixa dos Acionistas'!$52:$52,'Fluxo de Caixa dos Acionistas'!$1:$1,M$169)/1000</f>
        <v>-1840.3245285954399</v>
      </c>
      <c r="N175" s="1">
        <f ca="1">SUMIFS('Fluxo de Caixa dos Acionistas'!$52:$52,'Fluxo de Caixa dos Acionistas'!$1:$1,N$169)/1000</f>
        <v>-1579.6467909267922</v>
      </c>
      <c r="O175" s="1">
        <f ca="1">SUMIFS('Fluxo de Caixa dos Acionistas'!$52:$52,'Fluxo de Caixa dos Acionistas'!$1:$1,O$169)/1000</f>
        <v>-1345.4906270961835</v>
      </c>
      <c r="P175" s="1">
        <f ca="1">SUMIFS('Fluxo de Caixa dos Acionistas'!$52:$52,'Fluxo de Caixa dos Acionistas'!$1:$1,P$169)/1000</f>
        <v>-1222.4060558320664</v>
      </c>
      <c r="Q175" s="1">
        <f ca="1">SUMIFS('Fluxo de Caixa dos Acionistas'!$52:$52,'Fluxo de Caixa dos Acionistas'!$1:$1,Q$169)/1000</f>
        <v>-1162.096695984794</v>
      </c>
      <c r="R175" s="1">
        <f ca="1">SUMIFS('Fluxo de Caixa dos Acionistas'!$52:$52,'Fluxo de Caixa dos Acionistas'!$1:$1,R$169)/1000</f>
        <v>-936.13612112407759</v>
      </c>
      <c r="S175" s="1">
        <f ca="1">SUMIFS('Fluxo de Caixa dos Acionistas'!$52:$52,'Fluxo de Caixa dos Acionistas'!$1:$1,S$169)/1000</f>
        <v>-848.04783684438269</v>
      </c>
      <c r="T175" s="1">
        <f ca="1">SUMIFS('Fluxo de Caixa dos Acionistas'!$52:$52,'Fluxo de Caixa dos Acionistas'!$1:$1,T$169)/1000</f>
        <v>-773.32317240531506</v>
      </c>
      <c r="U175" s="1">
        <f ca="1">SUMIFS('Fluxo de Caixa dos Acionistas'!$52:$52,'Fluxo de Caixa dos Acionistas'!$1:$1,U$169)/1000</f>
        <v>-698.17166130646342</v>
      </c>
      <c r="V175" s="1">
        <f ca="1">SUMIFS('Fluxo de Caixa dos Acionistas'!$52:$52,'Fluxo de Caixa dos Acionistas'!$1:$1,V$169)/1000</f>
        <v>-642.48189040242221</v>
      </c>
      <c r="W175" s="1">
        <f ca="1">SUMIFS('Fluxo de Caixa dos Acionistas'!$52:$52,'Fluxo de Caixa dos Acionistas'!$1:$1,W$169)/1000</f>
        <v>-570.67892604730946</v>
      </c>
      <c r="X175" s="1">
        <f ca="1">SUMIFS('Fluxo de Caixa dos Acionistas'!$52:$52,'Fluxo de Caixa dos Acionistas'!$1:$1,X$169)/1000</f>
        <v>-527.11930384179266</v>
      </c>
      <c r="Y175" s="1">
        <f ca="1">SUMIFS('Fluxo de Caixa dos Acionistas'!$52:$52,'Fluxo de Caixa dos Acionistas'!$1:$1,Y$169)/1000</f>
        <v>-489.08661236503042</v>
      </c>
      <c r="Z175" s="1">
        <f ca="1">SUMIFS('Fluxo de Caixa dos Acionistas'!$52:$52,'Fluxo de Caixa dos Acionistas'!$1:$1,Z$169)/1000</f>
        <v>-461.15383263212863</v>
      </c>
      <c r="AA175" s="1">
        <f ca="1">SUMIFS('Fluxo de Caixa dos Acionistas'!$52:$52,'Fluxo de Caixa dos Acionistas'!$1:$1,AA$169)/1000</f>
        <v>-394.28162453967514</v>
      </c>
      <c r="AB175" s="1">
        <f ca="1">SUMIFS('Fluxo de Caixa dos Acionistas'!$52:$52,'Fluxo de Caixa dos Acionistas'!$1:$1,AB$169)/1000</f>
        <v>-328.12654815403607</v>
      </c>
      <c r="AC175" s="1">
        <f ca="1">SUMIFS('Fluxo de Caixa dos Acionistas'!$52:$52,'Fluxo de Caixa dos Acionistas'!$1:$1,AC$169)/1000</f>
        <v>-401.90077684648639</v>
      </c>
      <c r="AD175" s="1">
        <f ca="1">SUMIFS('Fluxo de Caixa dos Acionistas'!$52:$52,'Fluxo de Caixa dos Acionistas'!$1:$1,AD$169)/1000</f>
        <v>-400.03526049163713</v>
      </c>
      <c r="AE175" s="1">
        <f ca="1">SUMIFS('Fluxo de Caixa dos Acionistas'!$52:$52,'Fluxo de Caixa dos Acionistas'!$1:$1,AE$169)/1000</f>
        <v>0</v>
      </c>
      <c r="AF175" s="1">
        <f ca="1">SUMIFS('Fluxo de Caixa dos Acionistas'!$52:$52,'Fluxo de Caixa dos Acionistas'!$1:$1,AF$169)/1000</f>
        <v>0</v>
      </c>
      <c r="AG175" s="1">
        <f ca="1">SUMIFS('Fluxo de Caixa dos Acionistas'!$52:$52,'Fluxo de Caixa dos Acionistas'!$1:$1,AG$169)/1000</f>
        <v>0</v>
      </c>
      <c r="AH175" s="1">
        <f ca="1">SUMIFS('Fluxo de Caixa dos Acionistas'!$52:$52,'Fluxo de Caixa dos Acionistas'!$1:$1,AH$169)/1000</f>
        <v>0</v>
      </c>
      <c r="AI175" s="1">
        <f ca="1">SUMIFS('Fluxo de Caixa dos Acionistas'!$52:$52,'Fluxo de Caixa dos Acionistas'!$1:$1,AI$169)/1000</f>
        <v>0</v>
      </c>
      <c r="AJ175" s="1">
        <f ca="1">SUMIFS('Fluxo de Caixa dos Acionistas'!$52:$52,'Fluxo de Caixa dos Acionistas'!$1:$1,AJ$169)/1000</f>
        <v>0</v>
      </c>
      <c r="AK175" s="1">
        <f ca="1">SUMIFS('Fluxo de Caixa dos Acionistas'!$52:$52,'Fluxo de Caixa dos Acionistas'!$1:$1,AK$169)/1000</f>
        <v>0</v>
      </c>
      <c r="AL175" s="1">
        <f ca="1">SUMIFS('Fluxo de Caixa dos Acionistas'!$52:$52,'Fluxo de Caixa dos Acionistas'!$1:$1,AL$169)/1000</f>
        <v>0</v>
      </c>
      <c r="AM175" s="1">
        <f ca="1">SUMIFS('Fluxo de Caixa dos Acionistas'!$52:$52,'Fluxo de Caixa dos Acionistas'!$1:$1,AM$169)/1000</f>
        <v>0</v>
      </c>
      <c r="AN175" s="1">
        <f ca="1">SUMIFS('Fluxo de Caixa dos Acionistas'!$52:$52,'Fluxo de Caixa dos Acionistas'!$1:$1,AN$169)/1000</f>
        <v>0</v>
      </c>
      <c r="AO175" s="1">
        <f ca="1">SUMIFS('Fluxo de Caixa dos Acionistas'!$52:$52,'Fluxo de Caixa dos Acionistas'!$1:$1,AO$169)/1000</f>
        <v>0</v>
      </c>
      <c r="AP175" s="1">
        <f ca="1">SUMIFS('Fluxo de Caixa dos Acionistas'!$52:$52,'Fluxo de Caixa dos Acionistas'!$1:$1,AP$169)/1000</f>
        <v>0</v>
      </c>
      <c r="AQ175" s="1">
        <f ca="1">SUMIFS('Fluxo de Caixa dos Acionistas'!$52:$52,'Fluxo de Caixa dos Acionistas'!$1:$1,AQ$169)/1000</f>
        <v>0</v>
      </c>
    </row>
    <row r="176" spans="1:44" x14ac:dyDescent="0.3">
      <c r="A176" t="s">
        <v>531</v>
      </c>
      <c r="B176" s="1">
        <f ca="1">SUMIFS('Fluxo de Caixa dos Acionistas'!$59:$59,'Fluxo de Caixa dos Acionistas'!$1:$1,B$169)/1000</f>
        <v>6520.0055696372056</v>
      </c>
      <c r="C176" s="1">
        <f ca="1">SUMIFS('Fluxo de Caixa dos Acionistas'!$59:$59,'Fluxo de Caixa dos Acionistas'!$1:$1,C$169)/1000</f>
        <v>8510.7613755547081</v>
      </c>
      <c r="D176" s="1">
        <f ca="1">SUMIFS('Fluxo de Caixa dos Acionistas'!$59:$59,'Fluxo de Caixa dos Acionistas'!$1:$1,D$169)/1000</f>
        <v>8225.4107674987281</v>
      </c>
      <c r="E176" s="1">
        <f ca="1">SUMIFS('Fluxo de Caixa dos Acionistas'!$59:$59,'Fluxo de Caixa dos Acionistas'!$1:$1,E$169)/1000</f>
        <v>8204.6165692923423</v>
      </c>
      <c r="F176" s="1">
        <f ca="1">SUMIFS('Fluxo de Caixa dos Acionistas'!$59:$59,'Fluxo de Caixa dos Acionistas'!$1:$1,F$169)/1000</f>
        <v>7500.7190516192586</v>
      </c>
      <c r="G176" s="1">
        <f ca="1">SUMIFS('Fluxo de Caixa dos Acionistas'!$59:$59,'Fluxo de Caixa dos Acionistas'!$1:$1,G$169)/1000</f>
        <v>7500.7508743293893</v>
      </c>
      <c r="H176" s="1">
        <f ca="1">SUMIFS('Fluxo de Caixa dos Acionistas'!$59:$59,'Fluxo de Caixa dos Acionistas'!$1:$1,H$169)/1000</f>
        <v>6811.067038919794</v>
      </c>
      <c r="I176" s="1">
        <f ca="1">SUMIFS('Fluxo de Caixa dos Acionistas'!$59:$59,'Fluxo de Caixa dos Acionistas'!$1:$1,I$169)/1000</f>
        <v>5811.8059893464188</v>
      </c>
      <c r="J176" s="1">
        <f ca="1">SUMIFS('Fluxo de Caixa dos Acionistas'!$59:$59,'Fluxo de Caixa dos Acionistas'!$1:$1,J$169)/1000</f>
        <v>5167.3346998747584</v>
      </c>
      <c r="K176" s="1">
        <f ca="1">SUMIFS('Fluxo de Caixa dos Acionistas'!$59:$59,'Fluxo de Caixa dos Acionistas'!$1:$1,K$169)/1000</f>
        <v>4485.6893942191809</v>
      </c>
      <c r="L176" s="1">
        <f ca="1">SUMIFS('Fluxo de Caixa dos Acionistas'!$59:$59,'Fluxo de Caixa dos Acionistas'!$1:$1,L$169)/1000</f>
        <v>4054.6823771434874</v>
      </c>
      <c r="M176" s="1">
        <f ca="1">SUMIFS('Fluxo de Caixa dos Acionistas'!$59:$59,'Fluxo de Caixa dos Acionistas'!$1:$1,M$169)/1000</f>
        <v>3572.3946731558535</v>
      </c>
      <c r="N176" s="1">
        <f ca="1">SUMIFS('Fluxo de Caixa dos Acionistas'!$59:$59,'Fluxo de Caixa dos Acionistas'!$1:$1,N$169)/1000</f>
        <v>3066.3731823873022</v>
      </c>
      <c r="O176" s="1">
        <f ca="1">SUMIFS('Fluxo de Caixa dos Acionistas'!$59:$59,'Fluxo de Caixa dos Acionistas'!$1:$1,O$169)/1000</f>
        <v>2611.8347467161207</v>
      </c>
      <c r="P176" s="1">
        <f ca="1">SUMIFS('Fluxo de Caixa dos Acionistas'!$59:$59,'Fluxo de Caixa dos Acionistas'!$1:$1,P$169)/1000</f>
        <v>2372.9058730857755</v>
      </c>
      <c r="Q176" s="1">
        <f ca="1">SUMIFS('Fluxo de Caixa dos Acionistas'!$59:$59,'Fluxo de Caixa dos Acionistas'!$1:$1,Q$169)/1000</f>
        <v>2255.834762794012</v>
      </c>
      <c r="R176" s="1">
        <f ca="1">SUMIFS('Fluxo de Caixa dos Acionistas'!$59:$59,'Fluxo de Caixa dos Acionistas'!$1:$1,R$169)/1000</f>
        <v>1817.2054115937976</v>
      </c>
      <c r="S176" s="1">
        <f ca="1">SUMIFS('Fluxo de Caixa dos Acionistas'!$59:$59,'Fluxo de Caixa dos Acionistas'!$1:$1,S$169)/1000</f>
        <v>1646.2105068155663</v>
      </c>
      <c r="T176" s="1">
        <f ca="1">SUMIFS('Fluxo de Caixa dos Acionistas'!$59:$59,'Fluxo de Caixa dos Acionistas'!$1:$1,T$169)/1000</f>
        <v>1501.1567464338466</v>
      </c>
      <c r="U176" s="1">
        <f ca="1">SUMIFS('Fluxo de Caixa dos Acionistas'!$59:$59,'Fluxo de Caixa dos Acionistas'!$1:$1,U$169)/1000</f>
        <v>1355.2744013596052</v>
      </c>
      <c r="V176" s="1">
        <f ca="1">SUMIFS('Fluxo de Caixa dos Acionistas'!$59:$59,'Fluxo de Caixa dos Acionistas'!$1:$1,V$169)/1000</f>
        <v>1247.1707284282311</v>
      </c>
      <c r="W176" s="1">
        <f ca="1">SUMIFS('Fluxo de Caixa dos Acionistas'!$59:$59,'Fluxo de Caixa dos Acionistas'!$1:$1,W$169)/1000</f>
        <v>1107.7885035036006</v>
      </c>
      <c r="X176" s="1">
        <f ca="1">SUMIFS('Fluxo de Caixa dos Acionistas'!$59:$59,'Fluxo de Caixa dos Acionistas'!$1:$1,X$169)/1000</f>
        <v>1023.2315898105385</v>
      </c>
      <c r="Y176" s="1">
        <f ca="1">SUMIFS('Fluxo de Caixa dos Acionistas'!$59:$59,'Fluxo de Caixa dos Acionistas'!$1:$1,Y$169)/1000</f>
        <v>949.40342400270583</v>
      </c>
      <c r="Z176" s="1">
        <f ca="1">SUMIFS('Fluxo de Caixa dos Acionistas'!$59:$59,'Fluxo de Caixa dos Acionistas'!$1:$1,Z$169)/1000</f>
        <v>895.18096922707298</v>
      </c>
      <c r="AA176" s="1">
        <f ca="1">SUMIFS('Fluxo de Caixa dos Acionistas'!$59:$59,'Fluxo de Caixa dos Acionistas'!$1:$1,AA$169)/1000</f>
        <v>765.37021234172209</v>
      </c>
      <c r="AB176" s="1">
        <f ca="1">SUMIFS('Fluxo de Caixa dos Acionistas'!$59:$59,'Fluxo de Caixa dos Acionistas'!$1:$1,AB$169)/1000</f>
        <v>636.95153465195222</v>
      </c>
      <c r="AC176" s="1">
        <f ca="1">SUMIFS('Fluxo de Caixa dos Acionistas'!$59:$59,'Fluxo de Caixa dos Acionistas'!$1:$1,AC$169)/1000</f>
        <v>780.16033152553234</v>
      </c>
      <c r="AD176" s="1">
        <f ca="1">SUMIFS('Fluxo de Caixa dos Acionistas'!$59:$59,'Fluxo de Caixa dos Acionistas'!$1:$1,AD$169)/1000</f>
        <v>776.53903507200141</v>
      </c>
      <c r="AE176" s="1">
        <f ca="1">SUMIFS('Fluxo de Caixa dos Acionistas'!$59:$59,'Fluxo de Caixa dos Acionistas'!$1:$1,AE$169)/1000</f>
        <v>0</v>
      </c>
      <c r="AF176" s="1">
        <f ca="1">SUMIFS('Fluxo de Caixa dos Acionistas'!$59:$59,'Fluxo de Caixa dos Acionistas'!$1:$1,AF$169)/1000</f>
        <v>0</v>
      </c>
      <c r="AG176" s="1">
        <f ca="1">SUMIFS('Fluxo de Caixa dos Acionistas'!$59:$59,'Fluxo de Caixa dos Acionistas'!$1:$1,AG$169)/1000</f>
        <v>0</v>
      </c>
      <c r="AH176" s="1">
        <f ca="1">SUMIFS('Fluxo de Caixa dos Acionistas'!$59:$59,'Fluxo de Caixa dos Acionistas'!$1:$1,AH$169)/1000</f>
        <v>0</v>
      </c>
      <c r="AI176" s="1">
        <f ca="1">SUMIFS('Fluxo de Caixa dos Acionistas'!$59:$59,'Fluxo de Caixa dos Acionistas'!$1:$1,AI$169)/1000</f>
        <v>0</v>
      </c>
      <c r="AJ176" s="1">
        <f ca="1">SUMIFS('Fluxo de Caixa dos Acionistas'!$59:$59,'Fluxo de Caixa dos Acionistas'!$1:$1,AJ$169)/1000</f>
        <v>0</v>
      </c>
      <c r="AK176" s="1">
        <f ca="1">SUMIFS('Fluxo de Caixa dos Acionistas'!$59:$59,'Fluxo de Caixa dos Acionistas'!$1:$1,AK$169)/1000</f>
        <v>0</v>
      </c>
      <c r="AL176" s="1">
        <f ca="1">SUMIFS('Fluxo de Caixa dos Acionistas'!$59:$59,'Fluxo de Caixa dos Acionistas'!$1:$1,AL$169)/1000</f>
        <v>0</v>
      </c>
      <c r="AM176" s="1">
        <f ca="1">SUMIFS('Fluxo de Caixa dos Acionistas'!$59:$59,'Fluxo de Caixa dos Acionistas'!$1:$1,AM$169)/1000</f>
        <v>0</v>
      </c>
      <c r="AN176" s="1">
        <f ca="1">SUMIFS('Fluxo de Caixa dos Acionistas'!$59:$59,'Fluxo de Caixa dos Acionistas'!$1:$1,AN$169)/1000</f>
        <v>0</v>
      </c>
      <c r="AO176" s="1">
        <f ca="1">SUMIFS('Fluxo de Caixa dos Acionistas'!$59:$59,'Fluxo de Caixa dos Acionistas'!$1:$1,AO$169)/1000</f>
        <v>0</v>
      </c>
      <c r="AP176" s="1">
        <f ca="1">SUMIFS('Fluxo de Caixa dos Acionistas'!$59:$59,'Fluxo de Caixa dos Acionistas'!$1:$1,AP$169)/1000</f>
        <v>0</v>
      </c>
      <c r="AQ176" s="1">
        <f ca="1">SUMIFS('Fluxo de Caixa dos Acionistas'!$59:$59,'Fluxo de Caixa dos Acionistas'!$1:$1,AQ$169)/1000</f>
        <v>0</v>
      </c>
    </row>
    <row r="177" spans="1:43" x14ac:dyDescent="0.3">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x14ac:dyDescent="0.3">
      <c r="A178" t="s">
        <v>532</v>
      </c>
      <c r="B178" s="1">
        <f ca="1">SUMIFS('Fluxo de Caixa dos Acionistas'!73:73,'Fluxo de Caixa dos Acionistas'!$1:$1,B$169)/1000</f>
        <v>1596.9531915402797</v>
      </c>
      <c r="C178" s="1">
        <f ca="1">SUMIFS('Fluxo de Caixa dos Acionistas'!73:73,'Fluxo de Caixa dos Acionistas'!$1:$1,C$169)/1000</f>
        <v>1891.224984240544</v>
      </c>
      <c r="D178" s="1">
        <f ca="1">SUMIFS('Fluxo de Caixa dos Acionistas'!73:73,'Fluxo de Caixa dos Acionistas'!$1:$1,D$169)/1000</f>
        <v>2219.4582125376492</v>
      </c>
      <c r="E178" s="1">
        <f ca="1">SUMIFS('Fluxo de Caixa dos Acionistas'!73:73,'Fluxo de Caixa dos Acionistas'!$1:$1,E$169)/1000</f>
        <v>2392.3301476040915</v>
      </c>
      <c r="F178" s="1">
        <f ca="1">SUMIFS('Fluxo de Caixa dos Acionistas'!73:73,'Fluxo de Caixa dos Acionistas'!$1:$1,F$169)/1000</f>
        <v>2655.3508833659366</v>
      </c>
      <c r="G178" s="1">
        <f ca="1">SUMIFS('Fluxo de Caixa dos Acionistas'!73:73,'Fluxo de Caixa dos Acionistas'!$1:$1,G$169)/1000</f>
        <v>2587.6981410118365</v>
      </c>
      <c r="H178" s="1">
        <f ca="1">SUMIFS('Fluxo de Caixa dos Acionistas'!73:73,'Fluxo de Caixa dos Acionistas'!$1:$1,H$169)/1000</f>
        <v>2369.0125761991999</v>
      </c>
      <c r="I178" s="1">
        <f ca="1">SUMIFS('Fluxo de Caixa dos Acionistas'!73:73,'Fluxo de Caixa dos Acionistas'!$1:$1,I$169)/1000</f>
        <v>2064.7267952979869</v>
      </c>
      <c r="J178" s="1">
        <f ca="1">SUMIFS('Fluxo de Caixa dos Acionistas'!73:73,'Fluxo de Caixa dos Acionistas'!$1:$1,J$169)/1000</f>
        <v>1828.137374014656</v>
      </c>
      <c r="K178" s="1">
        <f ca="1">SUMIFS('Fluxo de Caixa dos Acionistas'!73:73,'Fluxo de Caixa dos Acionistas'!$1:$1,K$169)/1000</f>
        <v>1639.3550532193231</v>
      </c>
      <c r="L178" s="1">
        <f ca="1">SUMIFS('Fluxo de Caixa dos Acionistas'!73:73,'Fluxo de Caixa dos Acionistas'!$1:$1,L$169)/1000</f>
        <v>1457.6845995409428</v>
      </c>
      <c r="M178" s="1">
        <f ca="1">SUMIFS('Fluxo de Caixa dos Acionistas'!73:73,'Fluxo de Caixa dos Acionistas'!$1:$1,M$169)/1000</f>
        <v>1283.1199727102191</v>
      </c>
      <c r="N178" s="1">
        <f ca="1">SUMIFS('Fluxo de Caixa dos Acionistas'!73:73,'Fluxo de Caixa dos Acionistas'!$1:$1,N$169)/1000</f>
        <v>1140.9963347259759</v>
      </c>
      <c r="O178" s="1">
        <f ca="1">SUMIFS('Fluxo de Caixa dos Acionistas'!73:73,'Fluxo de Caixa dos Acionistas'!$1:$1,O$169)/1000</f>
        <v>1046.6193330039277</v>
      </c>
      <c r="P178" s="1">
        <f ca="1">SUMIFS('Fluxo de Caixa dos Acionistas'!73:73,'Fluxo de Caixa dos Acionistas'!$1:$1,P$169)/1000</f>
        <v>932.58941753807062</v>
      </c>
      <c r="Q178" s="1">
        <f ca="1">SUMIFS('Fluxo de Caixa dos Acionistas'!73:73,'Fluxo de Caixa dos Acionistas'!$1:$1,Q$169)/1000</f>
        <v>761.804332869164</v>
      </c>
      <c r="R178" s="1">
        <f ca="1">SUMIFS('Fluxo de Caixa dos Acionistas'!73:73,'Fluxo de Caixa dos Acionistas'!$1:$1,R$169)/1000</f>
        <v>696.69733130685336</v>
      </c>
      <c r="S178" s="1">
        <f ca="1">SUMIFS('Fluxo de Caixa dos Acionistas'!73:73,'Fluxo de Caixa dos Acionistas'!$1:$1,S$169)/1000</f>
        <v>643.18237575193064</v>
      </c>
      <c r="T178" s="1">
        <f ca="1">SUMIFS('Fluxo de Caixa dos Acionistas'!73:73,'Fluxo de Caixa dos Acionistas'!$1:$1,T$169)/1000</f>
        <v>595.39629467051498</v>
      </c>
      <c r="U178" s="1">
        <f ca="1">SUMIFS('Fluxo de Caixa dos Acionistas'!73:73,'Fluxo de Caixa dos Acionistas'!$1:$1,U$169)/1000</f>
        <v>564.35475797985077</v>
      </c>
      <c r="V178" s="1">
        <f ca="1">SUMIFS('Fluxo de Caixa dos Acionistas'!73:73,'Fluxo de Caixa dos Acionistas'!$1:$1,V$169)/1000</f>
        <v>528.54482289560906</v>
      </c>
      <c r="W178" s="1">
        <f ca="1">SUMIFS('Fluxo de Caixa dos Acionistas'!73:73,'Fluxo de Caixa dos Acionistas'!$1:$1,W$169)/1000</f>
        <v>521.83892808162614</v>
      </c>
      <c r="X178" s="1">
        <f ca="1">SUMIFS('Fluxo de Caixa dos Acionistas'!73:73,'Fluxo de Caixa dos Acionistas'!$1:$1,X$169)/1000</f>
        <v>528.27217103676367</v>
      </c>
      <c r="Y178" s="1">
        <f ca="1">SUMIFS('Fluxo de Caixa dos Acionistas'!73:73,'Fluxo de Caixa dos Acionistas'!$1:$1,Y$169)/1000</f>
        <v>547.8347497868856</v>
      </c>
      <c r="Z178" s="1">
        <f ca="1">SUMIFS('Fluxo de Caixa dos Acionistas'!73:73,'Fluxo de Caixa dos Acionistas'!$1:$1,Z$169)/1000</f>
        <v>553.6994209799501</v>
      </c>
      <c r="AA178" s="1">
        <f ca="1">SUMIFS('Fluxo de Caixa dos Acionistas'!73:73,'Fluxo de Caixa dos Acionistas'!$1:$1,AA$169)/1000</f>
        <v>603.08183312543747</v>
      </c>
      <c r="AB178" s="1">
        <f ca="1">SUMIFS('Fluxo de Caixa dos Acionistas'!73:73,'Fluxo de Caixa dos Acionistas'!$1:$1,AB$169)/1000</f>
        <v>717.3235814515607</v>
      </c>
      <c r="AC178" s="1">
        <f ca="1">SUMIFS('Fluxo de Caixa dos Acionistas'!73:73,'Fluxo de Caixa dos Acionistas'!$1:$1,AC$169)/1000</f>
        <v>453.47301428149234</v>
      </c>
      <c r="AD178" s="1">
        <f ca="1">SUMIFS('Fluxo de Caixa dos Acionistas'!73:73,'Fluxo de Caixa dos Acionistas'!$1:$1,AD$169)/1000</f>
        <v>10.173088515200186</v>
      </c>
      <c r="AE178" s="1">
        <f ca="1">SUMIFS('Fluxo de Caixa dos Acionistas'!73:73,'Fluxo de Caixa dos Acionistas'!$1:$1,AE$169)/1000</f>
        <v>0</v>
      </c>
      <c r="AF178" s="1">
        <f ca="1">SUMIFS('Fluxo de Caixa dos Acionistas'!73:73,'Fluxo de Caixa dos Acionistas'!$1:$1,AF$169)/1000</f>
        <v>0</v>
      </c>
      <c r="AG178" s="1">
        <f ca="1">SUMIFS('Fluxo de Caixa dos Acionistas'!73:73,'Fluxo de Caixa dos Acionistas'!$1:$1,AG$169)/1000</f>
        <v>0</v>
      </c>
      <c r="AH178" s="1">
        <f ca="1">SUMIFS('Fluxo de Caixa dos Acionistas'!73:73,'Fluxo de Caixa dos Acionistas'!$1:$1,AH$169)/1000</f>
        <v>0</v>
      </c>
      <c r="AI178" s="1">
        <f ca="1">SUMIFS('Fluxo de Caixa dos Acionistas'!73:73,'Fluxo de Caixa dos Acionistas'!$1:$1,AI$169)/1000</f>
        <v>0</v>
      </c>
      <c r="AJ178" s="1">
        <f ca="1">SUMIFS('Fluxo de Caixa dos Acionistas'!73:73,'Fluxo de Caixa dos Acionistas'!$1:$1,AJ$169)/1000</f>
        <v>0</v>
      </c>
      <c r="AK178" s="1">
        <f ca="1">SUMIFS('Fluxo de Caixa dos Acionistas'!73:73,'Fluxo de Caixa dos Acionistas'!$1:$1,AK$169)/1000</f>
        <v>0</v>
      </c>
      <c r="AL178" s="1">
        <f ca="1">SUMIFS('Fluxo de Caixa dos Acionistas'!73:73,'Fluxo de Caixa dos Acionistas'!$1:$1,AL$169)/1000</f>
        <v>0</v>
      </c>
      <c r="AM178" s="1">
        <f ca="1">SUMIFS('Fluxo de Caixa dos Acionistas'!73:73,'Fluxo de Caixa dos Acionistas'!$1:$1,AM$169)/1000</f>
        <v>0</v>
      </c>
      <c r="AN178" s="1">
        <f ca="1">SUMIFS('Fluxo de Caixa dos Acionistas'!73:73,'Fluxo de Caixa dos Acionistas'!$1:$1,AN$169)/1000</f>
        <v>0</v>
      </c>
      <c r="AO178" s="1">
        <f ca="1">SUMIFS('Fluxo de Caixa dos Acionistas'!73:73,'Fluxo de Caixa dos Acionistas'!$1:$1,AO$169)/1000</f>
        <v>0</v>
      </c>
      <c r="AP178" s="1">
        <f ca="1">SUMIFS('Fluxo de Caixa dos Acionistas'!73:73,'Fluxo de Caixa dos Acionistas'!$1:$1,AP$169)/1000</f>
        <v>0</v>
      </c>
      <c r="AQ178" s="1">
        <f ca="1">SUMIFS('Fluxo de Caixa dos Acionistas'!73:73,'Fluxo de Caixa dos Acionistas'!$1:$1,AQ$169)/1000</f>
        <v>0</v>
      </c>
    </row>
    <row r="179" spans="1:43" x14ac:dyDescent="0.3">
      <c r="A179" t="s">
        <v>15</v>
      </c>
      <c r="B179" s="1">
        <f ca="1">SUMIFS('Fluxo de Caixa dos Acionistas'!74:74,'Fluxo de Caixa dos Acionistas'!$1:$1,B$169)/1000</f>
        <v>-57.710249999999988</v>
      </c>
      <c r="C179" s="1">
        <f ca="1">SUMIFS('Fluxo de Caixa dos Acionistas'!74:74,'Fluxo de Caixa dos Acionistas'!$1:$1,C$169)/1000</f>
        <v>-58.866841799999989</v>
      </c>
      <c r="D179" s="1">
        <f ca="1">SUMIFS('Fluxo de Caixa dos Acionistas'!74:74,'Fluxo de Caixa dos Acionistas'!$1:$1,D$169)/1000</f>
        <v>-121.7268</v>
      </c>
      <c r="E179" s="1">
        <f ca="1">SUMIFS('Fluxo de Caixa dos Acionistas'!74:74,'Fluxo de Caixa dos Acionistas'!$1:$1,E$169)/1000</f>
        <v>0</v>
      </c>
      <c r="F179" s="1">
        <f ca="1">SUMIFS('Fluxo de Caixa dos Acionistas'!74:74,'Fluxo de Caixa dos Acionistas'!$1:$1,F$169)/1000</f>
        <v>-64.588726987199991</v>
      </c>
      <c r="G179" s="1">
        <f ca="1">SUMIFS('Fluxo de Caixa dos Acionistas'!74:74,'Fluxo de Caixa dos Acionistas'!$1:$1,G$169)/1000</f>
        <v>-66.526388796815993</v>
      </c>
      <c r="H179" s="1">
        <f ca="1">SUMIFS('Fluxo de Caixa dos Acionistas'!74:74,'Fluxo de Caixa dos Acionistas'!$1:$1,H$169)/1000</f>
        <v>0</v>
      </c>
      <c r="I179" s="1">
        <f ca="1">SUMIFS('Fluxo de Caixa dos Acionistas'!74:74,'Fluxo de Caixa dos Acionistas'!$1:$1,I$169)/1000</f>
        <v>0</v>
      </c>
      <c r="J179" s="1">
        <f ca="1">SUMIFS('Fluxo de Caixa dos Acionistas'!74:74,'Fluxo de Caixa dos Acionistas'!$1:$1,J$169)/1000</f>
        <v>0</v>
      </c>
      <c r="K179" s="1">
        <f ca="1">SUMIFS('Fluxo de Caixa dos Acionistas'!74:74,'Fluxo de Caixa dos Acionistas'!$1:$1,K$169)/1000</f>
        <v>0</v>
      </c>
      <c r="L179" s="1">
        <f ca="1">SUMIFS('Fluxo de Caixa dos Acionistas'!74:74,'Fluxo de Caixa dos Acionistas'!$1:$1,L$169)/1000</f>
        <v>0</v>
      </c>
      <c r="M179" s="1">
        <f ca="1">SUMIFS('Fluxo de Caixa dos Acionistas'!74:74,'Fluxo de Caixa dos Acionistas'!$1:$1,M$169)/1000</f>
        <v>0</v>
      </c>
      <c r="N179" s="1">
        <f ca="1">SUMIFS('Fluxo de Caixa dos Acionistas'!74:74,'Fluxo de Caixa dos Acionistas'!$1:$1,N$169)/1000</f>
        <v>0</v>
      </c>
      <c r="O179" s="1">
        <f ca="1">SUMIFS('Fluxo de Caixa dos Acionistas'!74:74,'Fluxo de Caixa dos Acionistas'!$1:$1,O$169)/1000</f>
        <v>0</v>
      </c>
      <c r="P179" s="1">
        <f ca="1">SUMIFS('Fluxo de Caixa dos Acionistas'!74:74,'Fluxo de Caixa dos Acionistas'!$1:$1,P$169)/1000</f>
        <v>0</v>
      </c>
      <c r="Q179" s="1">
        <f ca="1">SUMIFS('Fluxo de Caixa dos Acionistas'!74:74,'Fluxo de Caixa dos Acionistas'!$1:$1,Q$169)/1000</f>
        <v>0</v>
      </c>
      <c r="R179" s="1">
        <f ca="1">SUMIFS('Fluxo de Caixa dos Acionistas'!74:74,'Fluxo de Caixa dos Acionistas'!$1:$1,R$169)/1000</f>
        <v>-732.7692572934875</v>
      </c>
      <c r="S179" s="1">
        <f ca="1">SUMIFS('Fluxo de Caixa dos Acionistas'!74:74,'Fluxo de Caixa dos Acionistas'!$1:$1,S$169)/1000</f>
        <v>0</v>
      </c>
      <c r="T179" s="1">
        <f ca="1">SUMIFS('Fluxo de Caixa dos Acionistas'!74:74,'Fluxo de Caixa dos Acionistas'!$1:$1,T$169)/1000</f>
        <v>0</v>
      </c>
      <c r="U179" s="1">
        <f ca="1">SUMIFS('Fluxo de Caixa dos Acionistas'!74:74,'Fluxo de Caixa dos Acionistas'!$1:$1,U$169)/1000</f>
        <v>0</v>
      </c>
      <c r="V179" s="1">
        <f ca="1">SUMIFS('Fluxo de Caixa dos Acionistas'!74:74,'Fluxo de Caixa dos Acionistas'!$1:$1,V$169)/1000</f>
        <v>0</v>
      </c>
      <c r="W179" s="1">
        <f ca="1">SUMIFS('Fluxo de Caixa dos Acionistas'!74:74,'Fluxo de Caixa dos Acionistas'!$1:$1,W$169)/1000</f>
        <v>0</v>
      </c>
      <c r="X179" s="1">
        <f ca="1">SUMIFS('Fluxo de Caixa dos Acionistas'!74:74,'Fluxo de Caixa dos Acionistas'!$1:$1,X$169)/1000</f>
        <v>0</v>
      </c>
      <c r="Y179" s="1">
        <f ca="1">SUMIFS('Fluxo de Caixa dos Acionistas'!74:74,'Fluxo de Caixa dos Acionistas'!$1:$1,Y$169)/1000</f>
        <v>0</v>
      </c>
      <c r="Z179" s="1">
        <f ca="1">SUMIFS('Fluxo de Caixa dos Acionistas'!74:74,'Fluxo de Caixa dos Acionistas'!$1:$1,Z$169)/1000</f>
        <v>0</v>
      </c>
      <c r="AA179" s="1">
        <f ca="1">SUMIFS('Fluxo de Caixa dos Acionistas'!74:74,'Fluxo de Caixa dos Acionistas'!$1:$1,AA$169)/1000</f>
        <v>0</v>
      </c>
      <c r="AB179" s="1">
        <f ca="1">SUMIFS('Fluxo de Caixa dos Acionistas'!74:74,'Fluxo de Caixa dos Acionistas'!$1:$1,AB$169)/1000</f>
        <v>0</v>
      </c>
      <c r="AC179" s="1">
        <f ca="1">SUMIFS('Fluxo de Caixa dos Acionistas'!74:74,'Fluxo de Caixa dos Acionistas'!$1:$1,AC$169)/1000</f>
        <v>0</v>
      </c>
      <c r="AD179" s="1">
        <f ca="1">SUMIFS('Fluxo de Caixa dos Acionistas'!74:74,'Fluxo de Caixa dos Acionistas'!$1:$1,AD$169)/1000</f>
        <v>0</v>
      </c>
      <c r="AE179" s="1">
        <f ca="1">SUMIFS('Fluxo de Caixa dos Acionistas'!74:74,'Fluxo de Caixa dos Acionistas'!$1:$1,AE$169)/1000</f>
        <v>-10869.625044523464</v>
      </c>
      <c r="AF179" s="1">
        <f ca="1">SUMIFS('Fluxo de Caixa dos Acionistas'!74:74,'Fluxo de Caixa dos Acionistas'!$1:$1,AF$169)/1000</f>
        <v>0</v>
      </c>
      <c r="AG179" s="1">
        <f ca="1">SUMIFS('Fluxo de Caixa dos Acionistas'!74:74,'Fluxo de Caixa dos Acionistas'!$1:$1,AG$169)/1000</f>
        <v>0</v>
      </c>
      <c r="AH179" s="1">
        <f ca="1">SUMIFS('Fluxo de Caixa dos Acionistas'!74:74,'Fluxo de Caixa dos Acionistas'!$1:$1,AH$169)/1000</f>
        <v>0</v>
      </c>
      <c r="AI179" s="1">
        <f ca="1">SUMIFS('Fluxo de Caixa dos Acionistas'!74:74,'Fluxo de Caixa dos Acionistas'!$1:$1,AI$169)/1000</f>
        <v>0</v>
      </c>
      <c r="AJ179" s="1">
        <f ca="1">SUMIFS('Fluxo de Caixa dos Acionistas'!74:74,'Fluxo de Caixa dos Acionistas'!$1:$1,AJ$169)/1000</f>
        <v>0</v>
      </c>
      <c r="AK179" s="1">
        <f ca="1">SUMIFS('Fluxo de Caixa dos Acionistas'!74:74,'Fluxo de Caixa dos Acionistas'!$1:$1,AK$169)/1000</f>
        <v>0</v>
      </c>
      <c r="AL179" s="1">
        <f ca="1">SUMIFS('Fluxo de Caixa dos Acionistas'!74:74,'Fluxo de Caixa dos Acionistas'!$1:$1,AL$169)/1000</f>
        <v>0</v>
      </c>
      <c r="AM179" s="1">
        <f ca="1">SUMIFS('Fluxo de Caixa dos Acionistas'!74:74,'Fluxo de Caixa dos Acionistas'!$1:$1,AM$169)/1000</f>
        <v>0</v>
      </c>
      <c r="AN179" s="1">
        <f ca="1">SUMIFS('Fluxo de Caixa dos Acionistas'!74:74,'Fluxo de Caixa dos Acionistas'!$1:$1,AN$169)/1000</f>
        <v>0</v>
      </c>
      <c r="AO179" s="1">
        <f ca="1">SUMIFS('Fluxo de Caixa dos Acionistas'!74:74,'Fluxo de Caixa dos Acionistas'!$1:$1,AO$169)/1000</f>
        <v>0</v>
      </c>
      <c r="AP179" s="1">
        <f ca="1">SUMIFS('Fluxo de Caixa dos Acionistas'!74:74,'Fluxo de Caixa dos Acionistas'!$1:$1,AP$169)/1000</f>
        <v>0</v>
      </c>
      <c r="AQ179" s="1">
        <f ca="1">SUMIFS('Fluxo de Caixa dos Acionistas'!74:74,'Fluxo de Caixa dos Acionistas'!$1:$1,AQ$169)/1000</f>
        <v>0</v>
      </c>
    </row>
    <row r="180" spans="1:43" x14ac:dyDescent="0.3">
      <c r="A180" t="s">
        <v>545</v>
      </c>
      <c r="B180" s="1">
        <f ca="1">SUMIFS('Fluxo de Caixa dos Acionistas'!75:75,'Fluxo de Caixa dos Acionistas'!$1:$1,B$169)/1000</f>
        <v>-1082.6085989700173</v>
      </c>
      <c r="C180" s="1">
        <f ca="1">SUMIFS('Fluxo de Caixa dos Acionistas'!75:75,'Fluxo de Caixa dos Acionistas'!$1:$1,C$169)/1000</f>
        <v>-580.48134218906705</v>
      </c>
      <c r="D180" s="1">
        <f ca="1">SUMIFS('Fluxo de Caixa dos Acionistas'!75:75,'Fluxo de Caixa dos Acionistas'!$1:$1,D$169)/1000</f>
        <v>34.394185195168482</v>
      </c>
      <c r="E180" s="1">
        <f ca="1">SUMIFS('Fluxo de Caixa dos Acionistas'!75:75,'Fluxo de Caixa dos Acionistas'!$1:$1,E$169)/1000</f>
        <v>-15.756499500703532</v>
      </c>
      <c r="F180" s="1">
        <f ca="1">SUMIFS('Fluxo de Caixa dos Acionistas'!75:75,'Fluxo de Caixa dos Acionistas'!$1:$1,F$169)/1000</f>
        <v>200.52097917740372</v>
      </c>
      <c r="G180" s="1">
        <f ca="1">SUMIFS('Fluxo de Caixa dos Acionistas'!75:75,'Fluxo de Caixa dos Acionistas'!$1:$1,G$169)/1000</f>
        <v>13.530800975340419</v>
      </c>
      <c r="H180" s="1">
        <f ca="1">SUMIFS('Fluxo de Caixa dos Acionistas'!75:75,'Fluxo de Caixa dos Acionistas'!$1:$1,H$169)/1000</f>
        <v>287.95682717192636</v>
      </c>
      <c r="I180" s="1">
        <f ca="1">SUMIFS('Fluxo de Caixa dos Acionistas'!75:75,'Fluxo de Caixa dos Acionistas'!$1:$1,I$169)/1000</f>
        <v>403.67556671605769</v>
      </c>
      <c r="J180" s="1">
        <f ca="1">SUMIFS('Fluxo de Caixa dos Acionistas'!75:75,'Fluxo de Caixa dos Acionistas'!$1:$1,J$169)/1000</f>
        <v>244.38426108784438</v>
      </c>
      <c r="K180" s="1">
        <f ca="1">SUMIFS('Fluxo de Caixa dos Acionistas'!75:75,'Fluxo de Caixa dos Acionistas'!$1:$1,K$169)/1000</f>
        <v>196.66342060175981</v>
      </c>
      <c r="L180" s="1">
        <f ca="1">SUMIFS('Fluxo de Caixa dos Acionistas'!75:75,'Fluxo de Caixa dos Acionistas'!$1:$1,L$169)/1000</f>
        <v>168.45813702328411</v>
      </c>
      <c r="M180" s="1">
        <f ca="1">SUMIFS('Fluxo de Caixa dos Acionistas'!75:75,'Fluxo de Caixa dos Acionistas'!$1:$1,M$169)/1000</f>
        <v>171.85625586552359</v>
      </c>
      <c r="N180" s="1">
        <f ca="1">SUMIFS('Fluxo de Caixa dos Acionistas'!75:75,'Fluxo de Caixa dos Acionistas'!$1:$1,N$169)/1000</f>
        <v>176.06042563267403</v>
      </c>
      <c r="O180" s="1">
        <f ca="1">SUMIFS('Fluxo de Caixa dos Acionistas'!75:75,'Fluxo de Caixa dos Acionistas'!$1:$1,O$169)/1000</f>
        <v>147.34130428998614</v>
      </c>
      <c r="P180" s="1">
        <f ca="1">SUMIFS('Fluxo de Caixa dos Acionistas'!75:75,'Fluxo de Caixa dos Acionistas'!$1:$1,P$169)/1000</f>
        <v>107.73225064288185</v>
      </c>
      <c r="Q180" s="1">
        <f ca="1">SUMIFS('Fluxo de Caixa dos Acionistas'!75:75,'Fluxo de Caixa dos Acionistas'!$1:$1,Q$169)/1000</f>
        <v>82.225582530084878</v>
      </c>
      <c r="R180" s="1">
        <f ca="1">SUMIFS('Fluxo de Caixa dos Acionistas'!75:75,'Fluxo de Caixa dos Acionistas'!$1:$1,R$169)/1000</f>
        <v>189.31420478327701</v>
      </c>
      <c r="S180" s="1">
        <f ca="1">SUMIFS('Fluxo de Caixa dos Acionistas'!75:75,'Fluxo de Caixa dos Acionistas'!$1:$1,S$169)/1000</f>
        <v>78.444894486394475</v>
      </c>
      <c r="T180" s="1">
        <f ca="1">SUMIFS('Fluxo de Caixa dos Acionistas'!75:75,'Fluxo de Caixa dos Acionistas'!$1:$1,T$169)/1000</f>
        <v>69.787769434820163</v>
      </c>
      <c r="U180" s="1">
        <f ca="1">SUMIFS('Fluxo de Caixa dos Acionistas'!75:75,'Fluxo de Caixa dos Acionistas'!$1:$1,U$169)/1000</f>
        <v>65.991442436840728</v>
      </c>
      <c r="V180" s="1">
        <f ca="1">SUMIFS('Fluxo de Caixa dos Acionistas'!75:75,'Fluxo de Caixa dos Acionistas'!$1:$1,V$169)/1000</f>
        <v>51.827280256567349</v>
      </c>
      <c r="W180" s="1">
        <f ca="1">SUMIFS('Fluxo de Caixa dos Acionistas'!75:75,'Fluxo de Caixa dos Acionistas'!$1:$1,W$169)/1000</f>
        <v>56.934347450671602</v>
      </c>
      <c r="X180" s="1">
        <f ca="1">SUMIFS('Fluxo de Caixa dos Acionistas'!75:75,'Fluxo de Caixa dos Acionistas'!$1:$1,X$169)/1000</f>
        <v>32.785039290965969</v>
      </c>
      <c r="Y180" s="1">
        <f ca="1">SUMIFS('Fluxo de Caixa dos Acionistas'!75:75,'Fluxo de Caixa dos Acionistas'!$1:$1,Y$169)/1000</f>
        <v>25.605301720787015</v>
      </c>
      <c r="Z180" s="1">
        <f ca="1">SUMIFS('Fluxo de Caixa dos Acionistas'!75:75,'Fluxo de Caixa dos Acionistas'!$1:$1,Z$169)/1000</f>
        <v>22.200317614023195</v>
      </c>
      <c r="AA180" s="1">
        <f ca="1">SUMIFS('Fluxo de Caixa dos Acionistas'!75:75,'Fluxo de Caixa dos Acionistas'!$1:$1,AA$169)/1000</f>
        <v>39.563841039256481</v>
      </c>
      <c r="AB180" s="1">
        <f ca="1">SUMIFS('Fluxo de Caixa dos Acionistas'!75:75,'Fluxo de Caixa dos Acionistas'!$1:$1,AB$169)/1000</f>
        <v>22.550319884034952</v>
      </c>
      <c r="AC180" s="1">
        <f ca="1">SUMIFS('Fluxo de Caixa dos Acionistas'!75:75,'Fluxo de Caixa dos Acionistas'!$1:$1,AC$169)/1000</f>
        <v>14.216320325330628</v>
      </c>
      <c r="AD180" s="1">
        <f ca="1">SUMIFS('Fluxo de Caixa dos Acionistas'!75:75,'Fluxo de Caixa dos Acionistas'!$1:$1,AD$169)/1000</f>
        <v>118.81697771128709</v>
      </c>
      <c r="AE180" s="1">
        <f ca="1">SUMIFS('Fluxo de Caixa dos Acionistas'!75:75,'Fluxo de Caixa dos Acionistas'!$1:$1,AE$169)/1000</f>
        <v>0</v>
      </c>
      <c r="AF180" s="1">
        <f ca="1">SUMIFS('Fluxo de Caixa dos Acionistas'!75:75,'Fluxo de Caixa dos Acionistas'!$1:$1,AF$169)/1000</f>
        <v>0</v>
      </c>
      <c r="AG180" s="1">
        <f ca="1">SUMIFS('Fluxo de Caixa dos Acionistas'!75:75,'Fluxo de Caixa dos Acionistas'!$1:$1,AG$169)/1000</f>
        <v>0</v>
      </c>
      <c r="AH180" s="1">
        <f ca="1">SUMIFS('Fluxo de Caixa dos Acionistas'!75:75,'Fluxo de Caixa dos Acionistas'!$1:$1,AH$169)/1000</f>
        <v>0</v>
      </c>
      <c r="AI180" s="1">
        <f ca="1">SUMIFS('Fluxo de Caixa dos Acionistas'!75:75,'Fluxo de Caixa dos Acionistas'!$1:$1,AI$169)/1000</f>
        <v>0</v>
      </c>
      <c r="AJ180" s="1">
        <f ca="1">SUMIFS('Fluxo de Caixa dos Acionistas'!75:75,'Fluxo de Caixa dos Acionistas'!$1:$1,AJ$169)/1000</f>
        <v>0</v>
      </c>
      <c r="AK180" s="1">
        <f ca="1">SUMIFS('Fluxo de Caixa dos Acionistas'!75:75,'Fluxo de Caixa dos Acionistas'!$1:$1,AK$169)/1000</f>
        <v>0</v>
      </c>
      <c r="AL180" s="1">
        <f ca="1">SUMIFS('Fluxo de Caixa dos Acionistas'!75:75,'Fluxo de Caixa dos Acionistas'!$1:$1,AL$169)/1000</f>
        <v>0</v>
      </c>
      <c r="AM180" s="1">
        <f ca="1">SUMIFS('Fluxo de Caixa dos Acionistas'!75:75,'Fluxo de Caixa dos Acionistas'!$1:$1,AM$169)/1000</f>
        <v>0</v>
      </c>
      <c r="AN180" s="1">
        <f ca="1">SUMIFS('Fluxo de Caixa dos Acionistas'!75:75,'Fluxo de Caixa dos Acionistas'!$1:$1,AN$169)/1000</f>
        <v>0</v>
      </c>
      <c r="AO180" s="1">
        <f ca="1">SUMIFS('Fluxo de Caixa dos Acionistas'!75:75,'Fluxo de Caixa dos Acionistas'!$1:$1,AO$169)/1000</f>
        <v>0</v>
      </c>
      <c r="AP180" s="1">
        <f ca="1">SUMIFS('Fluxo de Caixa dos Acionistas'!75:75,'Fluxo de Caixa dos Acionistas'!$1:$1,AP$169)/1000</f>
        <v>0</v>
      </c>
      <c r="AQ180" s="1">
        <f ca="1">SUMIFS('Fluxo de Caixa dos Acionistas'!75:75,'Fluxo de Caixa dos Acionistas'!$1:$1,AQ$169)/1000</f>
        <v>0</v>
      </c>
    </row>
    <row r="181" spans="1:43" x14ac:dyDescent="0.3">
      <c r="A181" t="s">
        <v>660</v>
      </c>
      <c r="B181" s="1">
        <f t="shared" ref="B181:AQ181" ca="1" si="2">B176+B178+B180+B179</f>
        <v>6976.6399122074672</v>
      </c>
      <c r="C181" s="1">
        <f t="shared" ca="1" si="2"/>
        <v>9762.6381758061852</v>
      </c>
      <c r="D181" s="1">
        <f t="shared" ca="1" si="2"/>
        <v>10357.536365231545</v>
      </c>
      <c r="E181" s="1">
        <f t="shared" ca="1" si="2"/>
        <v>10581.19021739573</v>
      </c>
      <c r="F181" s="1">
        <f t="shared" ca="1" si="2"/>
        <v>10292.002187175398</v>
      </c>
      <c r="G181" s="1">
        <f t="shared" ca="1" si="2"/>
        <v>10035.453427519751</v>
      </c>
      <c r="H181" s="1">
        <f t="shared" ca="1" si="2"/>
        <v>9468.0364422909206</v>
      </c>
      <c r="I181" s="1">
        <f t="shared" ca="1" si="2"/>
        <v>8280.208351360463</v>
      </c>
      <c r="J181" s="1">
        <f t="shared" ca="1" si="2"/>
        <v>7239.8563349772585</v>
      </c>
      <c r="K181" s="1">
        <f t="shared" ca="1" si="2"/>
        <v>6321.7078680402637</v>
      </c>
      <c r="L181" s="1">
        <f t="shared" ca="1" si="2"/>
        <v>5680.825113707715</v>
      </c>
      <c r="M181" s="1">
        <f t="shared" ca="1" si="2"/>
        <v>5027.3709017315969</v>
      </c>
      <c r="N181" s="1">
        <f t="shared" ca="1" si="2"/>
        <v>4383.4299427459528</v>
      </c>
      <c r="O181" s="1">
        <f t="shared" ca="1" si="2"/>
        <v>3805.7953840100345</v>
      </c>
      <c r="P181" s="1">
        <f t="shared" ca="1" si="2"/>
        <v>3413.2275412667277</v>
      </c>
      <c r="Q181" s="1">
        <f t="shared" ca="1" si="2"/>
        <v>3099.8646781932607</v>
      </c>
      <c r="R181" s="1">
        <f t="shared" ca="1" si="2"/>
        <v>1970.4476903904406</v>
      </c>
      <c r="S181" s="1">
        <f t="shared" ca="1" si="2"/>
        <v>2367.8377770538914</v>
      </c>
      <c r="T181" s="1">
        <f t="shared" ca="1" si="2"/>
        <v>2166.3408105391818</v>
      </c>
      <c r="U181" s="1">
        <f t="shared" ca="1" si="2"/>
        <v>1985.6206017762968</v>
      </c>
      <c r="V181" s="1">
        <f t="shared" ca="1" si="2"/>
        <v>1827.5428315804074</v>
      </c>
      <c r="W181" s="1">
        <f t="shared" ca="1" si="2"/>
        <v>1686.5617790358983</v>
      </c>
      <c r="X181" s="1">
        <f t="shared" ca="1" si="2"/>
        <v>1584.288800138268</v>
      </c>
      <c r="Y181" s="1">
        <f t="shared" ca="1" si="2"/>
        <v>1522.8434755103785</v>
      </c>
      <c r="Z181" s="1">
        <f t="shared" ca="1" si="2"/>
        <v>1471.0807078210462</v>
      </c>
      <c r="AA181" s="1">
        <f t="shared" ca="1" si="2"/>
        <v>1408.0158865064161</v>
      </c>
      <c r="AB181" s="1">
        <f t="shared" ca="1" si="2"/>
        <v>1376.825435987548</v>
      </c>
      <c r="AC181" s="1">
        <f t="shared" ca="1" si="2"/>
        <v>1247.8496661323552</v>
      </c>
      <c r="AD181" s="1">
        <f t="shared" ca="1" si="2"/>
        <v>905.52910129848874</v>
      </c>
      <c r="AE181" s="1">
        <f t="shared" ca="1" si="2"/>
        <v>-10869.625044523464</v>
      </c>
      <c r="AF181" s="1">
        <f t="shared" ca="1" si="2"/>
        <v>0</v>
      </c>
      <c r="AG181" s="1">
        <f t="shared" ca="1" si="2"/>
        <v>0</v>
      </c>
      <c r="AH181" s="1">
        <f t="shared" ca="1" si="2"/>
        <v>0</v>
      </c>
      <c r="AI181" s="1">
        <f t="shared" ca="1" si="2"/>
        <v>0</v>
      </c>
      <c r="AJ181" s="1">
        <f t="shared" ca="1" si="2"/>
        <v>0</v>
      </c>
      <c r="AK181" s="1">
        <f t="shared" ca="1" si="2"/>
        <v>0</v>
      </c>
      <c r="AL181" s="1">
        <f t="shared" ca="1" si="2"/>
        <v>0</v>
      </c>
      <c r="AM181" s="1">
        <f t="shared" ca="1" si="2"/>
        <v>0</v>
      </c>
      <c r="AN181" s="1">
        <f t="shared" ca="1" si="2"/>
        <v>0</v>
      </c>
      <c r="AO181" s="1">
        <f t="shared" ca="1" si="2"/>
        <v>0</v>
      </c>
      <c r="AP181" s="1">
        <f t="shared" ca="1" si="2"/>
        <v>0</v>
      </c>
      <c r="AQ181" s="1">
        <f t="shared" ca="1" si="2"/>
        <v>0</v>
      </c>
    </row>
    <row r="182" spans="1:43" x14ac:dyDescent="0.3">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x14ac:dyDescent="0.3">
      <c r="A183" t="s">
        <v>100</v>
      </c>
      <c r="B183" s="1">
        <f ca="1">SUMIFS('Fluxo de Caixa dos Acionistas'!78:78,'Fluxo de Caixa dos Acionistas'!$1:$1,B$169)/1000</f>
        <v>-2927.860289411361</v>
      </c>
      <c r="C183" s="1">
        <f ca="1">SUMIFS('Fluxo de Caixa dos Acionistas'!78:78,'Fluxo de Caixa dos Acionistas'!$1:$1,C$169)/1000</f>
        <v>-2358.6130355949017</v>
      </c>
      <c r="D183" s="1">
        <f ca="1">SUMIFS('Fluxo de Caixa dos Acionistas'!78:78,'Fluxo de Caixa dos Acionistas'!$1:$1,D$169)/1000</f>
        <v>-3249.675955458556</v>
      </c>
      <c r="E183" s="1">
        <f ca="1">SUMIFS('Fluxo de Caixa dos Acionistas'!78:78,'Fluxo de Caixa dos Acionistas'!$1:$1,E$169)/1000</f>
        <v>-905.21040074048778</v>
      </c>
      <c r="F183" s="1">
        <f ca="1">SUMIFS('Fluxo de Caixa dos Acionistas'!78:78,'Fluxo de Caixa dos Acionistas'!$1:$1,F$169)/1000</f>
        <v>-756.65530500743444</v>
      </c>
      <c r="G183" s="1">
        <f ca="1">SUMIFS('Fluxo de Caixa dos Acionistas'!78:78,'Fluxo de Caixa dos Acionistas'!$1:$1,G$169)/1000</f>
        <v>-57.008682623194545</v>
      </c>
      <c r="H183" s="1">
        <f ca="1">SUMIFS('Fluxo de Caixa dos Acionistas'!78:78,'Fluxo de Caixa dos Acionistas'!$1:$1,H$169)/1000</f>
        <v>455.04675059220978</v>
      </c>
      <c r="I183" s="1">
        <f ca="1">SUMIFS('Fluxo de Caixa dos Acionistas'!78:78,'Fluxo de Caixa dos Acionistas'!$1:$1,I$169)/1000</f>
        <v>684.51553455207568</v>
      </c>
      <c r="J183" s="1">
        <f ca="1">SUMIFS('Fluxo de Caixa dos Acionistas'!78:78,'Fluxo de Caixa dos Acionistas'!$1:$1,J$169)/1000</f>
        <v>443.35238758296373</v>
      </c>
      <c r="K183" s="1">
        <f ca="1">SUMIFS('Fluxo de Caixa dos Acionistas'!78:78,'Fluxo de Caixa dos Acionistas'!$1:$1,K$169)/1000</f>
        <v>361.26329089177534</v>
      </c>
      <c r="L183" s="1">
        <f ca="1">SUMIFS('Fluxo de Caixa dos Acionistas'!78:78,'Fluxo de Caixa dos Acionistas'!$1:$1,L$169)/1000</f>
        <v>302.41855638163361</v>
      </c>
      <c r="M183" s="1">
        <f ca="1">SUMIFS('Fluxo de Caixa dos Acionistas'!78:78,'Fluxo de Caixa dos Acionistas'!$1:$1,M$169)/1000</f>
        <v>307.09470968286951</v>
      </c>
      <c r="N183" s="1">
        <f ca="1">SUMIFS('Fluxo de Caixa dos Acionistas'!78:78,'Fluxo de Caixa dos Acionistas'!$1:$1,N$169)/1000</f>
        <v>309.77288108693756</v>
      </c>
      <c r="O183" s="1">
        <f ca="1">SUMIFS('Fluxo de Caixa dos Acionistas'!78:78,'Fluxo de Caixa dos Acionistas'!$1:$1,O$169)/1000</f>
        <v>264.2283705540558</v>
      </c>
      <c r="P183" s="1">
        <f ca="1">SUMIFS('Fluxo de Caixa dos Acionistas'!78:78,'Fluxo de Caixa dos Acionistas'!$1:$1,P$169)/1000</f>
        <v>189.96973478251289</v>
      </c>
      <c r="Q183" s="1">
        <f ca="1">SUMIFS('Fluxo de Caixa dos Acionistas'!78:78,'Fluxo de Caixa dos Acionistas'!$1:$1,Q$169)/1000</f>
        <v>163.81290479372024</v>
      </c>
      <c r="R183" s="1">
        <f ca="1">SUMIFS('Fluxo de Caixa dos Acionistas'!78:78,'Fluxo de Caixa dos Acionistas'!$1:$1,R$169)/1000</f>
        <v>323.08614049065204</v>
      </c>
      <c r="S183" s="1">
        <f ca="1">SUMIFS('Fluxo de Caixa dos Acionistas'!78:78,'Fluxo de Caixa dos Acionistas'!$1:$1,S$169)/1000</f>
        <v>135.81312809331598</v>
      </c>
      <c r="T183" s="1">
        <f ca="1">SUMIFS('Fluxo de Caixa dos Acionistas'!78:78,'Fluxo de Caixa dos Acionistas'!$1:$1,T$169)/1000</f>
        <v>119.15926273211358</v>
      </c>
      <c r="U183" s="1">
        <f ca="1">SUMIFS('Fluxo de Caixa dos Acionistas'!78:78,'Fluxo de Caixa dos Acionistas'!$1:$1,U$169)/1000</f>
        <v>112.71271725237602</v>
      </c>
      <c r="V183" s="1">
        <f ca="1">SUMIFS('Fluxo de Caixa dos Acionistas'!78:78,'Fluxo de Caixa dos Acionistas'!$1:$1,V$169)/1000</f>
        <v>87.207043441012843</v>
      </c>
      <c r="W183" s="1">
        <f ca="1">SUMIFS('Fluxo de Caixa dos Acionistas'!78:78,'Fluxo de Caixa dos Acionistas'!$1:$1,W$169)/1000</f>
        <v>98.541218488193522</v>
      </c>
      <c r="X183" s="1">
        <f ca="1">SUMIFS('Fluxo de Caixa dos Acionistas'!78:78,'Fluxo de Caixa dos Acionistas'!$1:$1,X$169)/1000</f>
        <v>55.90015799925186</v>
      </c>
      <c r="Y183" s="1">
        <f ca="1">SUMIFS('Fluxo de Caixa dos Acionistas'!78:78,'Fluxo de Caixa dos Acionistas'!$1:$1,Y$169)/1000</f>
        <v>43.643323182323911</v>
      </c>
      <c r="Z183" s="1">
        <f ca="1">SUMIFS('Fluxo de Caixa dos Acionistas'!78:78,'Fluxo de Caixa dos Acionistas'!$1:$1,Z$169)/1000</f>
        <v>36.801225964688228</v>
      </c>
      <c r="AA183" s="1">
        <f ca="1">SUMIFS('Fluxo de Caixa dos Acionistas'!78:78,'Fluxo de Caixa dos Acionistas'!$1:$1,AA$169)/1000</f>
        <v>68.462703586833186</v>
      </c>
      <c r="AB183" s="1">
        <f ca="1">SUMIFS('Fluxo de Caixa dos Acionistas'!78:78,'Fluxo de Caixa dos Acionistas'!$1:$1,AB$169)/1000</f>
        <v>38.611285564778086</v>
      </c>
      <c r="AC183" s="1">
        <f ca="1">SUMIFS('Fluxo de Caixa dos Acionistas'!78:78,'Fluxo de Caixa dos Acionistas'!$1:$1,AC$169)/1000</f>
        <v>24.373898111109156</v>
      </c>
      <c r="AD183" s="1">
        <f ca="1">SUMIFS('Fluxo de Caixa dos Acionistas'!78:78,'Fluxo de Caixa dos Acionistas'!$1:$1,AD$169)/1000</f>
        <v>202.19606585288761</v>
      </c>
      <c r="AE183" s="1">
        <f ca="1">SUMIFS('Fluxo de Caixa dos Acionistas'!78:78,'Fluxo de Caixa dos Acionistas'!$1:$1,AE$169)/1000</f>
        <v>0</v>
      </c>
      <c r="AF183" s="1">
        <f ca="1">SUMIFS('Fluxo de Caixa dos Acionistas'!78:78,'Fluxo de Caixa dos Acionistas'!$1:$1,AF$169)/1000</f>
        <v>0</v>
      </c>
      <c r="AG183" s="1">
        <f ca="1">SUMIFS('Fluxo de Caixa dos Acionistas'!78:78,'Fluxo de Caixa dos Acionistas'!$1:$1,AG$169)/1000</f>
        <v>0</v>
      </c>
      <c r="AH183" s="1">
        <f ca="1">SUMIFS('Fluxo de Caixa dos Acionistas'!78:78,'Fluxo de Caixa dos Acionistas'!$1:$1,AH$169)/1000</f>
        <v>0</v>
      </c>
      <c r="AI183" s="1">
        <f ca="1">SUMIFS('Fluxo de Caixa dos Acionistas'!78:78,'Fluxo de Caixa dos Acionistas'!$1:$1,AI$169)/1000</f>
        <v>0</v>
      </c>
      <c r="AJ183" s="1">
        <f ca="1">SUMIFS('Fluxo de Caixa dos Acionistas'!78:78,'Fluxo de Caixa dos Acionistas'!$1:$1,AJ$169)/1000</f>
        <v>0</v>
      </c>
      <c r="AK183" s="1">
        <f ca="1">SUMIFS('Fluxo de Caixa dos Acionistas'!78:78,'Fluxo de Caixa dos Acionistas'!$1:$1,AK$169)/1000</f>
        <v>0</v>
      </c>
      <c r="AL183" s="1">
        <f ca="1">SUMIFS('Fluxo de Caixa dos Acionistas'!78:78,'Fluxo de Caixa dos Acionistas'!$1:$1,AL$169)/1000</f>
        <v>0</v>
      </c>
      <c r="AM183" s="1">
        <f ca="1">SUMIFS('Fluxo de Caixa dos Acionistas'!78:78,'Fluxo de Caixa dos Acionistas'!$1:$1,AM$169)/1000</f>
        <v>0</v>
      </c>
      <c r="AN183" s="1">
        <f ca="1">SUMIFS('Fluxo de Caixa dos Acionistas'!78:78,'Fluxo de Caixa dos Acionistas'!$1:$1,AN$169)/1000</f>
        <v>0</v>
      </c>
      <c r="AO183" s="1">
        <f ca="1">SUMIFS('Fluxo de Caixa dos Acionistas'!78:78,'Fluxo de Caixa dos Acionistas'!$1:$1,AO$169)/1000</f>
        <v>0</v>
      </c>
      <c r="AP183" s="1">
        <f ca="1">SUMIFS('Fluxo de Caixa dos Acionistas'!78:78,'Fluxo de Caixa dos Acionistas'!$1:$1,AP$169)/1000</f>
        <v>0</v>
      </c>
      <c r="AQ183" s="1">
        <f ca="1">SUMIFS('Fluxo de Caixa dos Acionistas'!78:78,'Fluxo de Caixa dos Acionistas'!$1:$1,AQ$169)/1000</f>
        <v>0</v>
      </c>
    </row>
    <row r="184" spans="1:43" x14ac:dyDescent="0.3">
      <c r="A184" t="s">
        <v>661</v>
      </c>
      <c r="B184" s="1">
        <f ca="1">SUMIFS('Fluxo de Caixa dos Acionistas'!$77:$77,'Fluxo de Caixa dos Acionistas'!$1:$1,'Gráficos - Monografia'!B169)/1000</f>
        <v>-2019.9030495151999</v>
      </c>
      <c r="C184" s="1">
        <f ca="1">SUMIFS('Fluxo de Caixa dos Acionistas'!$77:$77,'Fluxo de Caixa dos Acionistas'!$1:$1,'Gráficos - Monografia'!C169)/1000</f>
        <v>-2014.3608885152003</v>
      </c>
      <c r="D184" s="1">
        <f ca="1">SUMIFS('Fluxo de Caixa dos Acionistas'!$77:$77,'Fluxo de Caixa dos Acionistas'!$1:$1,'Gráficos - Monografia'!D169)/1000</f>
        <v>-1632.6527512352004</v>
      </c>
      <c r="E184" s="1">
        <f ca="1">SUMIFS('Fluxo de Caixa dos Acionistas'!$77:$77,'Fluxo de Caixa dos Acionistas'!$1:$1,'Gráficos - Monografia'!E169)/1000</f>
        <v>-1629.5186606791999</v>
      </c>
      <c r="F184" s="1">
        <f ca="1">SUMIFS('Fluxo de Caixa dos Acionistas'!$77:$77,'Fluxo de Caixa dos Acionistas'!$1:$1,'Gráficos - Monografia'!F169)/1000</f>
        <v>-1320.2367267642082</v>
      </c>
      <c r="G184" s="1">
        <f ca="1">SUMIFS('Fluxo de Caixa dos Acionistas'!$77:$77,'Fluxo de Caixa dos Acionistas'!$1:$1,'Gráficos - Monografia'!G169)/1000</f>
        <v>-1373.9583728337916</v>
      </c>
      <c r="H184" s="1">
        <f ca="1">SUMIFS('Fluxo de Caixa dos Acionistas'!$77:$77,'Fluxo de Caixa dos Acionistas'!$1:$1,'Gráficos - Monografia'!H169)/1000</f>
        <v>-245.06946577319829</v>
      </c>
      <c r="I184" s="1">
        <f ca="1">SUMIFS('Fluxo de Caixa dos Acionistas'!$77:$77,'Fluxo de Caixa dos Acionistas'!$1:$1,'Gráficos - Monografia'!I169)/1000</f>
        <v>-252.11032479641904</v>
      </c>
      <c r="J184" s="1">
        <f ca="1">SUMIFS('Fluxo de Caixa dos Acionistas'!$77:$77,'Fluxo de Caixa dos Acionistas'!$1:$1,'Gráficos - Monografia'!J169)/1000</f>
        <v>-259.37465514821037</v>
      </c>
      <c r="K184" s="1">
        <f ca="1">SUMIFS('Fluxo de Caixa dos Acionistas'!$77:$77,'Fluxo de Caixa dos Acionistas'!$1:$1,'Gráficos - Monografia'!K169)/1000</f>
        <v>-266.84430248594526</v>
      </c>
      <c r="L184" s="1">
        <f ca="1">SUMIFS('Fluxo de Caixa dos Acionistas'!$77:$77,'Fluxo de Caixa dos Acionistas'!$1:$1,'Gráficos - Monografia'!L169)/1000</f>
        <v>-274.55103055616064</v>
      </c>
      <c r="M184" s="1">
        <f ca="1">SUMIFS('Fluxo de Caixa dos Acionistas'!$77:$77,'Fluxo de Caixa dos Acionistas'!$1:$1,'Gráficos - Monografia'!M169)/1000</f>
        <v>-282.47557941676365</v>
      </c>
      <c r="N184" s="1">
        <f ca="1">SUMIFS('Fluxo de Caixa dos Acionistas'!$77:$77,'Fluxo de Caixa dos Acionistas'!$1:$1,'Gráficos - Monografia'!N169)/1000</f>
        <v>-290.65164722645522</v>
      </c>
      <c r="O184" s="1">
        <f ca="1">SUMIFS('Fluxo de Caixa dos Acionistas'!$77:$77,'Fluxo de Caixa dos Acionistas'!$1:$1,'Gráficos - Monografia'!O169)/1000</f>
        <v>-187.41423669097779</v>
      </c>
      <c r="P184" s="1">
        <f ca="1">SUMIFS('Fluxo de Caixa dos Acionistas'!$77:$77,'Fluxo de Caixa dos Acionistas'!$1:$1,'Gráficos - Monografia'!P169)/1000</f>
        <v>-192.73889009762883</v>
      </c>
      <c r="Q184" s="1">
        <f ca="1">SUMIFS('Fluxo de Caixa dos Acionistas'!$77:$77,'Fluxo de Caixa dos Acionistas'!$1:$1,'Gráficos - Monografia'!Q169)/1000</f>
        <v>-198.20822261488263</v>
      </c>
      <c r="R184" s="1">
        <f ca="1">SUMIFS('Fluxo de Caixa dos Acionistas'!$77:$77,'Fluxo de Caixa dos Acionistas'!$1:$1,'Gráficos - Monografia'!R169)/1000</f>
        <v>-203.85714741399869</v>
      </c>
      <c r="S184" s="1">
        <f ca="1">SUMIFS('Fluxo de Caixa dos Acionistas'!$77:$77,'Fluxo de Caixa dos Acionistas'!$1:$1,'Gráficos - Monografia'!S169)/1000</f>
        <v>-209.65956228155329</v>
      </c>
      <c r="T184" s="1">
        <f ca="1">SUMIFS('Fluxo de Caixa dos Acionistas'!$77:$77,'Fluxo de Caixa dos Acionistas'!$1:$1,'Gráficos - Monografia'!T169)/1000</f>
        <v>-215.65250660093554</v>
      </c>
      <c r="U184" s="1">
        <f ca="1">SUMIFS('Fluxo de Caixa dos Acionistas'!$77:$77,'Fluxo de Caixa dos Acionistas'!$1:$1,'Gráficos - Monografia'!U169)/1000</f>
        <v>-221.80828853392418</v>
      </c>
      <c r="V184" s="1">
        <f ca="1">SUMIFS('Fluxo de Caixa dos Acionistas'!$77:$77,'Fluxo de Caixa dos Acionistas'!$1:$1,'Gráficos - Monografia'!V169)/1000</f>
        <v>-228.16620316235682</v>
      </c>
      <c r="W184" s="1">
        <f ca="1">SUMIFS('Fluxo de Caixa dos Acionistas'!$77:$77,'Fluxo de Caixa dos Acionistas'!$1:$1,'Gráficos - Monografia'!W169)/1000</f>
        <v>-234.69687221506459</v>
      </c>
      <c r="X184" s="1">
        <f ca="1">SUMIFS('Fluxo de Caixa dos Acionistas'!$77:$77,'Fluxo de Caixa dos Acionistas'!$1:$1,'Gráficos - Monografia'!X169)/1000</f>
        <v>-241.44198384436865</v>
      </c>
      <c r="Y184" s="1">
        <f ca="1">SUMIFS('Fluxo de Caixa dos Acionistas'!$77:$77,'Fluxo de Caixa dos Acionistas'!$1:$1,'Gráficos - Monografia'!Y169)/1000</f>
        <v>-248.37037064238629</v>
      </c>
      <c r="Z184" s="1">
        <f ca="1">SUMIFS('Fluxo de Caixa dos Acionistas'!$77:$77,'Fluxo de Caixa dos Acionistas'!$1:$1,'Gráficos - Monografia'!Z169)/1000</f>
        <v>-255.52625956991508</v>
      </c>
      <c r="AA184" s="1">
        <f ca="1">SUMIFS('Fluxo de Caixa dos Acionistas'!$77:$77,'Fluxo de Caixa dos Acionistas'!$1:$1,'Gráficos - Monografia'!AA169)/1000</f>
        <v>-262.87658512393187</v>
      </c>
      <c r="AB184" s="1">
        <f ca="1">SUMIFS('Fluxo de Caixa dos Acionistas'!$77:$77,'Fluxo de Caixa dos Acionistas'!$1:$1,'Gráficos - Monografia'!AB169)/1000</f>
        <v>-10.173088515200186</v>
      </c>
      <c r="AC184" s="1">
        <f ca="1">SUMIFS('Fluxo de Caixa dos Acionistas'!$77:$77,'Fluxo de Caixa dos Acionistas'!$1:$1,'Gráficos - Monografia'!AC169)/1000</f>
        <v>-10.173088515200186</v>
      </c>
      <c r="AD184" s="1">
        <f ca="1">SUMIFS('Fluxo de Caixa dos Acionistas'!$77:$77,'Fluxo de Caixa dos Acionistas'!$1:$1,'Gráficos - Monografia'!AD169)/1000</f>
        <v>-10.173088515200186</v>
      </c>
      <c r="AE184" s="1">
        <f ca="1">SUMIFS('Fluxo de Caixa dos Acionistas'!$77:$77,'Fluxo de Caixa dos Acionistas'!$1:$1,'Gráficos - Monografia'!AE169)/1000</f>
        <v>0</v>
      </c>
      <c r="AF184" s="1">
        <f ca="1">SUMIFS('Fluxo de Caixa dos Acionistas'!$77:$77,'Fluxo de Caixa dos Acionistas'!$1:$1,'Gráficos - Monografia'!AF169)/1000</f>
        <v>0</v>
      </c>
      <c r="AG184" s="1">
        <f ca="1">SUMIFS('Fluxo de Caixa dos Acionistas'!$77:$77,'Fluxo de Caixa dos Acionistas'!$1:$1,'Gráficos - Monografia'!AG169)/1000</f>
        <v>0</v>
      </c>
      <c r="AH184" s="1">
        <f ca="1">SUMIFS('Fluxo de Caixa dos Acionistas'!$77:$77,'Fluxo de Caixa dos Acionistas'!$1:$1,'Gráficos - Monografia'!AH169)/1000</f>
        <v>0</v>
      </c>
      <c r="AI184" s="1">
        <f ca="1">SUMIFS('Fluxo de Caixa dos Acionistas'!$77:$77,'Fluxo de Caixa dos Acionistas'!$1:$1,'Gráficos - Monografia'!AI169)/1000</f>
        <v>0</v>
      </c>
      <c r="AJ184" s="1">
        <f ca="1">SUMIFS('Fluxo de Caixa dos Acionistas'!$77:$77,'Fluxo de Caixa dos Acionistas'!$1:$1,'Gráficos - Monografia'!AJ169)/1000</f>
        <v>0</v>
      </c>
      <c r="AK184" s="1">
        <f ca="1">SUMIFS('Fluxo de Caixa dos Acionistas'!$77:$77,'Fluxo de Caixa dos Acionistas'!$1:$1,'Gráficos - Monografia'!AK169)/1000</f>
        <v>0</v>
      </c>
      <c r="AL184" s="1">
        <f ca="1">SUMIFS('Fluxo de Caixa dos Acionistas'!$77:$77,'Fluxo de Caixa dos Acionistas'!$1:$1,'Gráficos - Monografia'!AL169)/1000</f>
        <v>0</v>
      </c>
      <c r="AM184" s="1">
        <f ca="1">SUMIFS('Fluxo de Caixa dos Acionistas'!$77:$77,'Fluxo de Caixa dos Acionistas'!$1:$1,'Gráficos - Monografia'!AM169)/1000</f>
        <v>0</v>
      </c>
      <c r="AN184" s="1">
        <f ca="1">SUMIFS('Fluxo de Caixa dos Acionistas'!$77:$77,'Fluxo de Caixa dos Acionistas'!$1:$1,'Gráficos - Monografia'!AN169)/1000</f>
        <v>0</v>
      </c>
      <c r="AO184" s="1">
        <f ca="1">SUMIFS('Fluxo de Caixa dos Acionistas'!$77:$77,'Fluxo de Caixa dos Acionistas'!$1:$1,'Gráficos - Monografia'!AO169)/1000</f>
        <v>0</v>
      </c>
      <c r="AP184" s="1">
        <f ca="1">SUMIFS('Fluxo de Caixa dos Acionistas'!$77:$77,'Fluxo de Caixa dos Acionistas'!$1:$1,'Gráficos - Monografia'!AP169)/1000</f>
        <v>0</v>
      </c>
      <c r="AQ184" s="1">
        <f ca="1">SUMIFS('Fluxo de Caixa dos Acionistas'!$77:$77,'Fluxo de Caixa dos Acionistas'!$1:$1,'Gráficos - Monografia'!AQ169)/1000</f>
        <v>0</v>
      </c>
    </row>
    <row r="185" spans="1:43" x14ac:dyDescent="0.3">
      <c r="A185" t="s">
        <v>634</v>
      </c>
      <c r="B185" s="1">
        <f t="shared" ref="B185:AQ185" ca="1" si="3">B181+B184+B183</f>
        <v>2028.8765732809061</v>
      </c>
      <c r="C185" s="1">
        <f t="shared" ca="1" si="3"/>
        <v>5389.6642516960828</v>
      </c>
      <c r="D185" s="1">
        <f t="shared" ca="1" si="3"/>
        <v>5475.2076585377881</v>
      </c>
      <c r="E185" s="1">
        <f t="shared" ca="1" si="3"/>
        <v>8046.4611559760424</v>
      </c>
      <c r="F185" s="1">
        <f t="shared" ca="1" si="3"/>
        <v>8215.1101554037559</v>
      </c>
      <c r="G185" s="1">
        <f t="shared" ca="1" si="3"/>
        <v>8604.4863720627654</v>
      </c>
      <c r="H185" s="1">
        <f t="shared" ca="1" si="3"/>
        <v>9678.013727109932</v>
      </c>
      <c r="I185" s="1">
        <f t="shared" ca="1" si="3"/>
        <v>8712.6135611161189</v>
      </c>
      <c r="J185" s="1">
        <f t="shared" ca="1" si="3"/>
        <v>7423.8340674120118</v>
      </c>
      <c r="K185" s="1">
        <f t="shared" ca="1" si="3"/>
        <v>6416.1268564460934</v>
      </c>
      <c r="L185" s="1">
        <f t="shared" ca="1" si="3"/>
        <v>5708.6926395331884</v>
      </c>
      <c r="M185" s="1">
        <f t="shared" ca="1" si="3"/>
        <v>5051.9900319977023</v>
      </c>
      <c r="N185" s="1">
        <f t="shared" ca="1" si="3"/>
        <v>4402.5511766064355</v>
      </c>
      <c r="O185" s="1">
        <f t="shared" ca="1" si="3"/>
        <v>3882.6095178731125</v>
      </c>
      <c r="P185" s="1">
        <f t="shared" ca="1" si="3"/>
        <v>3410.4583859516115</v>
      </c>
      <c r="Q185" s="1">
        <f t="shared" ca="1" si="3"/>
        <v>3065.469360372098</v>
      </c>
      <c r="R185" s="1">
        <f t="shared" ca="1" si="3"/>
        <v>2089.6766834670939</v>
      </c>
      <c r="S185" s="1">
        <f t="shared" ca="1" si="3"/>
        <v>2293.9913428656537</v>
      </c>
      <c r="T185" s="1">
        <f t="shared" ca="1" si="3"/>
        <v>2069.8475666703598</v>
      </c>
      <c r="U185" s="1">
        <f t="shared" ca="1" si="3"/>
        <v>1876.5250304947485</v>
      </c>
      <c r="V185" s="1">
        <f t="shared" ca="1" si="3"/>
        <v>1686.5836718590635</v>
      </c>
      <c r="W185" s="1">
        <f t="shared" ca="1" si="3"/>
        <v>1550.4061253090272</v>
      </c>
      <c r="X185" s="1">
        <f t="shared" ca="1" si="3"/>
        <v>1398.7469742931512</v>
      </c>
      <c r="Y185" s="1">
        <f t="shared" ca="1" si="3"/>
        <v>1318.1164280503162</v>
      </c>
      <c r="Z185" s="1">
        <f t="shared" ca="1" si="3"/>
        <v>1252.3556742158194</v>
      </c>
      <c r="AA185" s="1">
        <f t="shared" ca="1" si="3"/>
        <v>1213.6020049693175</v>
      </c>
      <c r="AB185" s="1">
        <f t="shared" ca="1" si="3"/>
        <v>1405.2636330371261</v>
      </c>
      <c r="AC185" s="1">
        <f t="shared" ca="1" si="3"/>
        <v>1262.0504757282642</v>
      </c>
      <c r="AD185" s="1">
        <f t="shared" ca="1" si="3"/>
        <v>1097.5520786361762</v>
      </c>
      <c r="AE185" s="1">
        <f t="shared" ca="1" si="3"/>
        <v>-10869.625044523464</v>
      </c>
      <c r="AF185" s="1">
        <f t="shared" ca="1" si="3"/>
        <v>0</v>
      </c>
      <c r="AG185" s="1">
        <f t="shared" ca="1" si="3"/>
        <v>0</v>
      </c>
      <c r="AH185" s="1">
        <f t="shared" ca="1" si="3"/>
        <v>0</v>
      </c>
      <c r="AI185" s="1">
        <f t="shared" ca="1" si="3"/>
        <v>0</v>
      </c>
      <c r="AJ185" s="1">
        <f t="shared" ca="1" si="3"/>
        <v>0</v>
      </c>
      <c r="AK185" s="1">
        <f t="shared" ca="1" si="3"/>
        <v>0</v>
      </c>
      <c r="AL185" s="1">
        <f t="shared" ca="1" si="3"/>
        <v>0</v>
      </c>
      <c r="AM185" s="1">
        <f t="shared" ca="1" si="3"/>
        <v>0</v>
      </c>
      <c r="AN185" s="1">
        <f t="shared" ca="1" si="3"/>
        <v>0</v>
      </c>
      <c r="AO185" s="1">
        <f t="shared" ca="1" si="3"/>
        <v>0</v>
      </c>
      <c r="AP185" s="1">
        <f t="shared" ca="1" si="3"/>
        <v>0</v>
      </c>
      <c r="AQ185" s="1">
        <f t="shared" ca="1" si="3"/>
        <v>0</v>
      </c>
    </row>
    <row r="187" spans="1:43" x14ac:dyDescent="0.3">
      <c r="B187" s="1">
        <f ca="1">SUMIFS('Avaliação e Simulações'!$5:$5,'Avaliação e Simulações'!$1:$1,'Gráficos - Monografia'!B169)</f>
        <v>953.68857328090678</v>
      </c>
      <c r="C187" s="1">
        <f ca="1">SUMIFS('Avaliação e Simulações'!$5:$5,'Avaliação e Simulações'!$1:$1,'Gráficos - Monografia'!C169)</f>
        <v>5389.6642516960837</v>
      </c>
      <c r="D187" s="1">
        <f ca="1">SUMIFS('Avaliação e Simulações'!$5:$5,'Avaliação e Simulações'!$1:$1,'Gráficos - Monografia'!D169)</f>
        <v>5475.2076585377899</v>
      </c>
      <c r="E187" s="1">
        <f ca="1">SUMIFS('Avaliação e Simulações'!$5:$5,'Avaliação e Simulações'!$1:$1,'Gráficos - Monografia'!E169)</f>
        <v>8046.4611559760424</v>
      </c>
      <c r="F187" s="1">
        <f ca="1">SUMIFS('Avaliação e Simulações'!$5:$5,'Avaliação e Simulações'!$1:$1,'Gráficos - Monografia'!F169)</f>
        <v>8215.1101554037559</v>
      </c>
      <c r="G187" s="1">
        <f ca="1">SUMIFS('Avaliação e Simulações'!$5:$5,'Avaliação e Simulações'!$1:$1,'Gráficos - Monografia'!G169)</f>
        <v>8604.4863720627636</v>
      </c>
      <c r="H187" s="1">
        <f ca="1">SUMIFS('Avaliação e Simulações'!$5:$5,'Avaliação e Simulações'!$1:$1,'Gráficos - Monografia'!H169)</f>
        <v>9678.013727109932</v>
      </c>
      <c r="I187" s="1">
        <f ca="1">SUMIFS('Avaliação e Simulações'!$5:$5,'Avaliação e Simulações'!$1:$1,'Gráficos - Monografia'!I169)</f>
        <v>8712.6135611161189</v>
      </c>
      <c r="J187" s="1">
        <f ca="1">SUMIFS('Avaliação e Simulações'!$5:$5,'Avaliação e Simulações'!$1:$1,'Gráficos - Monografia'!J169)</f>
        <v>7423.8340674120127</v>
      </c>
      <c r="K187" s="1">
        <f ca="1">SUMIFS('Avaliação e Simulações'!$5:$5,'Avaliação e Simulações'!$1:$1,'Gráficos - Monografia'!K169)</f>
        <v>6416.1268564460934</v>
      </c>
      <c r="L187" s="1">
        <f ca="1">SUMIFS('Avaliação e Simulações'!$5:$5,'Avaliação e Simulações'!$1:$1,'Gráficos - Monografia'!L169)</f>
        <v>5708.6926395331866</v>
      </c>
      <c r="M187" s="1">
        <f ca="1">SUMIFS('Avaliação e Simulações'!$5:$5,'Avaliação e Simulações'!$1:$1,'Gráficos - Monografia'!M169)</f>
        <v>5051.9900319977023</v>
      </c>
      <c r="N187" s="1">
        <f ca="1">SUMIFS('Avaliação e Simulações'!$5:$5,'Avaliação e Simulações'!$1:$1,'Gráficos - Monografia'!N169)</f>
        <v>4402.5511766064346</v>
      </c>
      <c r="O187" s="1">
        <f ca="1">SUMIFS('Avaliação e Simulações'!$5:$5,'Avaliação e Simulações'!$1:$1,'Gráficos - Monografia'!O169)</f>
        <v>3882.609517873113</v>
      </c>
      <c r="P187" s="1">
        <f ca="1">SUMIFS('Avaliação e Simulações'!$5:$5,'Avaliação e Simulações'!$1:$1,'Gráficos - Monografia'!P169)</f>
        <v>3410.4583859516115</v>
      </c>
      <c r="Q187" s="1">
        <f ca="1">SUMIFS('Avaliação e Simulações'!$5:$5,'Avaliação e Simulações'!$1:$1,'Gráficos - Monografia'!Q169)</f>
        <v>3065.4693603720984</v>
      </c>
      <c r="R187" s="1">
        <f ca="1">SUMIFS('Avaliação e Simulações'!$5:$5,'Avaliação e Simulações'!$1:$1,'Gráficos - Monografia'!R169)</f>
        <v>2089.6766834670939</v>
      </c>
      <c r="S187" s="1">
        <f ca="1">SUMIFS('Avaliação e Simulações'!$5:$5,'Avaliação e Simulações'!$1:$1,'Gráficos - Monografia'!S169)</f>
        <v>2293.9913428656541</v>
      </c>
      <c r="T187" s="1">
        <f ca="1">SUMIFS('Avaliação e Simulações'!$5:$5,'Avaliação e Simulações'!$1:$1,'Gráficos - Monografia'!T169)</f>
        <v>2069.8475666703598</v>
      </c>
      <c r="U187" s="1">
        <f ca="1">SUMIFS('Avaliação e Simulações'!$5:$5,'Avaliação e Simulações'!$1:$1,'Gráficos - Monografia'!U169)</f>
        <v>1876.5250304947485</v>
      </c>
      <c r="V187" s="1">
        <f ca="1">SUMIFS('Avaliação e Simulações'!$5:$5,'Avaliação e Simulações'!$1:$1,'Gráficos - Monografia'!V169)</f>
        <v>1686.5836718590635</v>
      </c>
      <c r="W187" s="1">
        <f ca="1">SUMIFS('Avaliação e Simulações'!$5:$5,'Avaliação e Simulações'!$1:$1,'Gráficos - Monografia'!W169)</f>
        <v>1550.4061253090272</v>
      </c>
      <c r="X187" s="1">
        <f ca="1">SUMIFS('Avaliação e Simulações'!$5:$5,'Avaliação e Simulações'!$1:$1,'Gráficos - Monografia'!X169)</f>
        <v>1398.7469742931514</v>
      </c>
      <c r="Y187" s="1">
        <f ca="1">SUMIFS('Avaliação e Simulações'!$5:$5,'Avaliação e Simulações'!$1:$1,'Gráficos - Monografia'!Y169)</f>
        <v>1318.116428050316</v>
      </c>
      <c r="Z187" s="1">
        <f ca="1">SUMIFS('Avaliação e Simulações'!$5:$5,'Avaliação e Simulações'!$1:$1,'Gráficos - Monografia'!Z169)</f>
        <v>1252.3556742158196</v>
      </c>
      <c r="AA187" s="1">
        <f ca="1">SUMIFS('Avaliação e Simulações'!$5:$5,'Avaliação e Simulações'!$1:$1,'Gráficos - Monografia'!AA169)</f>
        <v>1213.6020049693175</v>
      </c>
      <c r="AB187" s="1">
        <f ca="1">SUMIFS('Avaliação e Simulações'!$5:$5,'Avaliação e Simulações'!$1:$1,'Gráficos - Monografia'!AB169)</f>
        <v>1405.2636330371258</v>
      </c>
      <c r="AC187" s="1">
        <f ca="1">SUMIFS('Avaliação e Simulações'!$5:$5,'Avaliação e Simulações'!$1:$1,'Gráficos - Monografia'!AC169)</f>
        <v>1262.050475728264</v>
      </c>
      <c r="AD187" s="1">
        <f ca="1">SUMIFS('Avaliação e Simulações'!$5:$5,'Avaliação e Simulações'!$1:$1,'Gráficos - Monografia'!AD169)</f>
        <v>1097.5520786361762</v>
      </c>
      <c r="AE187" s="1">
        <f ca="1">SUMIFS('Avaliação e Simulações'!$5:$5,'Avaliação e Simulações'!$1:$1,'Gráficos - Monografia'!AE169)</f>
        <v>-10869.625044523464</v>
      </c>
      <c r="AF187" s="1">
        <f ca="1">SUMIFS('Avaliação e Simulações'!$5:$5,'Avaliação e Simulações'!$1:$1,'Gráficos - Monografia'!AF169)</f>
        <v>0</v>
      </c>
      <c r="AG187" s="1">
        <f ca="1">SUMIFS('Avaliação e Simulações'!$5:$5,'Avaliação e Simulações'!$1:$1,'Gráficos - Monografia'!AG169)</f>
        <v>0</v>
      </c>
      <c r="AH187" s="1">
        <f ca="1">SUMIFS('Avaliação e Simulações'!$5:$5,'Avaliação e Simulações'!$1:$1,'Gráficos - Monografia'!AH169)</f>
        <v>0</v>
      </c>
      <c r="AI187" s="1">
        <f ca="1">SUMIFS('Avaliação e Simulações'!$5:$5,'Avaliação e Simulações'!$1:$1,'Gráficos - Monografia'!AI169)</f>
        <v>0</v>
      </c>
      <c r="AJ187" s="1">
        <f ca="1">SUMIFS('Avaliação e Simulações'!$5:$5,'Avaliação e Simulações'!$1:$1,'Gráficos - Monografia'!AJ169)</f>
        <v>0</v>
      </c>
      <c r="AK187" s="1">
        <f ca="1">SUMIFS('Avaliação e Simulações'!$5:$5,'Avaliação e Simulações'!$1:$1,'Gráficos - Monografia'!AK169)</f>
        <v>0</v>
      </c>
      <c r="AL187" s="1">
        <f ca="1">SUMIFS('Avaliação e Simulações'!$5:$5,'Avaliação e Simulações'!$1:$1,'Gráficos - Monografia'!AL169)</f>
        <v>0</v>
      </c>
      <c r="AM187" s="1">
        <f ca="1">SUMIFS('Avaliação e Simulações'!$5:$5,'Avaliação e Simulações'!$1:$1,'Gráficos - Monografia'!AM169)</f>
        <v>0</v>
      </c>
      <c r="AN187" s="1">
        <f ca="1">SUMIFS('Avaliação e Simulações'!$5:$5,'Avaliação e Simulações'!$1:$1,'Gráficos - Monografia'!AN169)</f>
        <v>0</v>
      </c>
      <c r="AO187" s="1">
        <f ca="1">SUMIFS('Avaliação e Simulações'!$5:$5,'Avaliação e Simulações'!$1:$1,'Gráficos - Monografia'!AO169)</f>
        <v>0</v>
      </c>
      <c r="AP187" s="1">
        <f ca="1">SUMIFS('Avaliação e Simulações'!$5:$5,'Avaliação e Simulações'!$1:$1,'Gráficos - Monografia'!AP169)</f>
        <v>0</v>
      </c>
      <c r="AQ187" s="1">
        <f ca="1">SUMIFS('Avaliação e Simulações'!$5:$5,'Avaliação e Simulações'!$1:$1,'Gráficos - Monografia'!AQ169)</f>
        <v>0</v>
      </c>
    </row>
    <row r="194" spans="1:3" ht="79.2" x14ac:dyDescent="0.3">
      <c r="B194" s="102" t="s">
        <v>382</v>
      </c>
      <c r="C194" s="102" t="s">
        <v>1188</v>
      </c>
    </row>
    <row r="195" spans="1:3" x14ac:dyDescent="0.3">
      <c r="B195" s="102">
        <v>2024</v>
      </c>
      <c r="C195" s="106">
        <v>236</v>
      </c>
    </row>
    <row r="196" spans="1:3" x14ac:dyDescent="0.3">
      <c r="B196" s="102">
        <v>2025</v>
      </c>
      <c r="C196" s="106">
        <v>275</v>
      </c>
    </row>
    <row r="197" spans="1:3" x14ac:dyDescent="0.3">
      <c r="B197" s="102">
        <f>B196+1</f>
        <v>2026</v>
      </c>
      <c r="C197" s="106">
        <v>625</v>
      </c>
    </row>
    <row r="198" spans="1:3" x14ac:dyDescent="0.3">
      <c r="B198" s="102">
        <f>B197+1</f>
        <v>2027</v>
      </c>
      <c r="C198" s="106">
        <v>148</v>
      </c>
    </row>
    <row r="199" spans="1:3" x14ac:dyDescent="0.3">
      <c r="B199" s="102" t="s">
        <v>1189</v>
      </c>
      <c r="C199" s="106">
        <v>246</v>
      </c>
    </row>
    <row r="208" spans="1:3" x14ac:dyDescent="0.3">
      <c r="A208" t="s">
        <v>116</v>
      </c>
    </row>
    <row r="210" spans="1:8" ht="26.4" x14ac:dyDescent="0.3">
      <c r="B210" s="102">
        <v>2018</v>
      </c>
      <c r="C210" s="102">
        <v>2019</v>
      </c>
      <c r="D210" s="102">
        <v>2020</v>
      </c>
      <c r="E210" s="102">
        <v>2021</v>
      </c>
      <c r="F210" s="102">
        <v>2022</v>
      </c>
      <c r="G210" s="102">
        <v>2023</v>
      </c>
      <c r="H210" s="102" t="s">
        <v>626</v>
      </c>
    </row>
    <row r="211" spans="1:8" x14ac:dyDescent="0.3">
      <c r="A211" s="103" t="s">
        <v>116</v>
      </c>
      <c r="B211" s="103">
        <v>186993</v>
      </c>
      <c r="C211" s="104">
        <v>459396</v>
      </c>
      <c r="D211" s="104">
        <v>809273</v>
      </c>
      <c r="E211" s="104">
        <v>970681</v>
      </c>
      <c r="F211" s="104">
        <v>9612961</v>
      </c>
      <c r="G211" s="104">
        <v>2335403</v>
      </c>
      <c r="H211" s="133"/>
    </row>
    <row r="212" spans="1:8" x14ac:dyDescent="0.3">
      <c r="A212" s="112" t="s">
        <v>380</v>
      </c>
      <c r="B212" s="273">
        <v>0.22027163925929416</v>
      </c>
      <c r="C212" s="273">
        <v>0.2793791574279379</v>
      </c>
      <c r="D212" s="273">
        <v>0.4249970459803013</v>
      </c>
      <c r="E212" s="273">
        <v>0.22080990390588906</v>
      </c>
      <c r="F212" s="273">
        <v>1.5106464628210214</v>
      </c>
      <c r="G212" s="273">
        <v>0.19616925300803248</v>
      </c>
      <c r="H212" s="273">
        <f>MEDIAN(B212:G212)</f>
        <v>0.25009453066691345</v>
      </c>
    </row>
    <row r="213" spans="1:8" x14ac:dyDescent="0.3">
      <c r="A213" s="103" t="s">
        <v>118</v>
      </c>
      <c r="B213" s="103">
        <v>607441</v>
      </c>
      <c r="C213" s="104">
        <v>226301</v>
      </c>
      <c r="D213" s="104">
        <v>22793</v>
      </c>
      <c r="E213" s="104">
        <v>3680185</v>
      </c>
      <c r="F213" s="104">
        <v>0</v>
      </c>
      <c r="G213" s="104">
        <v>0</v>
      </c>
      <c r="H213" s="133"/>
    </row>
    <row r="217" spans="1:8" ht="26.4" x14ac:dyDescent="0.3">
      <c r="A217" s="113" t="s">
        <v>622</v>
      </c>
      <c r="B217" s="102">
        <v>2020</v>
      </c>
      <c r="C217" s="102">
        <v>2021</v>
      </c>
      <c r="D217" s="102">
        <v>2022</v>
      </c>
      <c r="E217" s="102">
        <v>2023</v>
      </c>
      <c r="F217" s="102" t="s">
        <v>637</v>
      </c>
    </row>
    <row r="218" spans="1:8" x14ac:dyDescent="0.3">
      <c r="A218" s="103" t="s">
        <v>640</v>
      </c>
      <c r="B218" s="134">
        <v>14.52760560730078</v>
      </c>
      <c r="C218" s="135">
        <v>13.136769392580645</v>
      </c>
      <c r="D218" s="135">
        <v>9.9339560168025685</v>
      </c>
      <c r="E218" s="135">
        <v>7.6358343300849398</v>
      </c>
      <c r="F218" s="142" t="s">
        <v>1190</v>
      </c>
    </row>
    <row r="224" spans="1:8" ht="26.4" x14ac:dyDescent="0.3">
      <c r="A224" s="113" t="s">
        <v>642</v>
      </c>
      <c r="B224" s="102">
        <v>2018</v>
      </c>
      <c r="C224" s="102">
        <v>2019</v>
      </c>
      <c r="D224" s="102">
        <v>2020</v>
      </c>
      <c r="E224" s="102">
        <v>2021</v>
      </c>
      <c r="F224" s="102">
        <v>2022</v>
      </c>
      <c r="G224" s="102">
        <v>2023</v>
      </c>
      <c r="H224" s="102" t="s">
        <v>637</v>
      </c>
    </row>
    <row r="225" spans="1:8" x14ac:dyDescent="0.3">
      <c r="A225" s="103" t="s">
        <v>184</v>
      </c>
      <c r="B225" s="104">
        <v>-197084</v>
      </c>
      <c r="C225" s="104">
        <v>-245716</v>
      </c>
      <c r="D225" s="104">
        <v>-337947</v>
      </c>
      <c r="E225" s="104">
        <v>-315640</v>
      </c>
      <c r="F225" s="104">
        <v>-367529</v>
      </c>
      <c r="G225" s="104">
        <v>-567393</v>
      </c>
      <c r="H225" s="104" t="str">
        <f>"-132.419"&amp; " (valor real)"</f>
        <v>-132.419 (valor real)</v>
      </c>
    </row>
    <row r="226" spans="1:8" x14ac:dyDescent="0.3">
      <c r="A226" s="275" t="s">
        <v>380</v>
      </c>
      <c r="B226" s="276">
        <v>-0.23215850727983792</v>
      </c>
      <c r="C226" s="276">
        <v>-0.14943083754878839</v>
      </c>
      <c r="D226" s="276">
        <v>-0.17747592802169956</v>
      </c>
      <c r="E226" s="276">
        <v>-7.1801588852418885E-2</v>
      </c>
      <c r="F226" s="276">
        <v>-5.7756021670549502E-2</v>
      </c>
      <c r="G226" s="276">
        <v>-4.7659894661429558E-2</v>
      </c>
      <c r="H226" s="277" t="str">
        <f>"[-23%, -4,8%] (limite min/max)"</f>
        <v>[-23%, -4,8%] (limite min/max)</v>
      </c>
    </row>
    <row r="227" spans="1:8" x14ac:dyDescent="0.3">
      <c r="A227" s="143" t="s">
        <v>217</v>
      </c>
      <c r="B227" s="104" t="s">
        <v>620</v>
      </c>
      <c r="C227" s="104">
        <v>-255208</v>
      </c>
      <c r="D227" s="104">
        <v>-244174</v>
      </c>
      <c r="E227" s="104">
        <v>-183922</v>
      </c>
      <c r="F227" s="104">
        <v>-352759</v>
      </c>
      <c r="G227" s="104">
        <v>-221404</v>
      </c>
      <c r="H227" s="104" t="s">
        <v>1191</v>
      </c>
    </row>
    <row r="228" spans="1:8" x14ac:dyDescent="0.3">
      <c r="A228" s="112" t="s">
        <v>380</v>
      </c>
      <c r="B228" s="273" t="s">
        <v>620</v>
      </c>
      <c r="C228" s="273">
        <v>-0.15520334528134588</v>
      </c>
      <c r="D228" s="273">
        <v>-0.12823018771810513</v>
      </c>
      <c r="E228" s="273">
        <v>-4.1838460983761837E-2</v>
      </c>
      <c r="F228" s="273">
        <v>-5.5434962815128525E-2</v>
      </c>
      <c r="G228" s="273">
        <v>-1.8597500000209995E-2</v>
      </c>
      <c r="H228" s="151">
        <f>AVERAGE(F228:G228)</f>
        <v>-3.7016231407669256E-2</v>
      </c>
    </row>
    <row r="234" spans="1:8" ht="52.8" x14ac:dyDescent="0.3">
      <c r="A234" s="146" t="s">
        <v>648</v>
      </c>
      <c r="B234" s="102" t="s">
        <v>645</v>
      </c>
      <c r="C234" s="102" t="s">
        <v>649</v>
      </c>
    </row>
    <row r="235" spans="1:8" x14ac:dyDescent="0.3">
      <c r="A235" s="125" t="s">
        <v>1138</v>
      </c>
      <c r="B235" s="148" t="s">
        <v>1157</v>
      </c>
      <c r="C235" s="142">
        <v>15.305999999999999</v>
      </c>
    </row>
    <row r="236" spans="1:8" x14ac:dyDescent="0.3">
      <c r="A236" s="149" t="s">
        <v>1139</v>
      </c>
      <c r="B236" s="151" t="s">
        <v>1157</v>
      </c>
      <c r="C236" s="274">
        <v>911.14300000000003</v>
      </c>
    </row>
    <row r="237" spans="1:8" x14ac:dyDescent="0.3">
      <c r="A237" s="125" t="s">
        <v>1140</v>
      </c>
      <c r="B237" s="148" t="s">
        <v>1157</v>
      </c>
      <c r="C237" s="142">
        <v>431.64499999999998</v>
      </c>
    </row>
    <row r="238" spans="1:8" x14ac:dyDescent="0.3">
      <c r="A238" s="149" t="s">
        <v>1141</v>
      </c>
      <c r="B238" s="151" t="s">
        <v>1157</v>
      </c>
      <c r="C238" s="274">
        <v>1506.51</v>
      </c>
    </row>
    <row r="239" spans="1:8" x14ac:dyDescent="0.3">
      <c r="A239" s="125" t="s">
        <v>644</v>
      </c>
      <c r="B239" s="148" t="s">
        <v>1157</v>
      </c>
      <c r="C239" s="142">
        <v>544.01499999999999</v>
      </c>
    </row>
    <row r="240" spans="1:8" x14ac:dyDescent="0.3">
      <c r="A240" s="149" t="s">
        <v>1142</v>
      </c>
      <c r="B240" s="151" t="s">
        <v>1157</v>
      </c>
      <c r="C240" s="274">
        <v>1540.3710000000001</v>
      </c>
    </row>
    <row r="241" spans="1:3" x14ac:dyDescent="0.3">
      <c r="A241" s="125" t="s">
        <v>1143</v>
      </c>
      <c r="B241" s="148" t="s">
        <v>1157</v>
      </c>
      <c r="C241" s="142">
        <v>409.16199999999998</v>
      </c>
    </row>
    <row r="242" spans="1:3" x14ac:dyDescent="0.3">
      <c r="A242" s="149" t="s">
        <v>1144</v>
      </c>
      <c r="B242" s="151">
        <v>0.03</v>
      </c>
      <c r="C242" s="274">
        <v>266.65199999999999</v>
      </c>
    </row>
    <row r="243" spans="1:3" x14ac:dyDescent="0.3">
      <c r="A243" s="125" t="s">
        <v>1145</v>
      </c>
      <c r="B243" s="148">
        <v>0.1</v>
      </c>
      <c r="C243" s="142">
        <v>0</v>
      </c>
    </row>
    <row r="244" spans="1:3" x14ac:dyDescent="0.3">
      <c r="A244" s="149" t="s">
        <v>1146</v>
      </c>
      <c r="B244" s="151">
        <v>0.1</v>
      </c>
      <c r="C244" s="274">
        <v>0.73099999999999998</v>
      </c>
    </row>
    <row r="245" spans="1:3" x14ac:dyDescent="0.3">
      <c r="A245" s="125" t="s">
        <v>1147</v>
      </c>
      <c r="B245" s="148">
        <v>0.2</v>
      </c>
      <c r="C245" s="142">
        <v>0.44600000000000001</v>
      </c>
    </row>
    <row r="246" spans="1:3" x14ac:dyDescent="0.3">
      <c r="A246" s="149" t="s">
        <v>1148</v>
      </c>
      <c r="B246" s="151">
        <v>0.2</v>
      </c>
      <c r="C246" s="274">
        <v>4.7830000000000004</v>
      </c>
    </row>
    <row r="247" spans="1:3" x14ac:dyDescent="0.3">
      <c r="A247" s="125" t="s">
        <v>1149</v>
      </c>
      <c r="B247" s="148">
        <v>0.04</v>
      </c>
      <c r="C247" s="142">
        <v>5.0819999999999999</v>
      </c>
    </row>
    <row r="248" spans="1:3" x14ac:dyDescent="0.3">
      <c r="A248" s="149" t="s">
        <v>1151</v>
      </c>
      <c r="B248" s="151" t="s">
        <v>1162</v>
      </c>
      <c r="C248" s="274">
        <v>23.747</v>
      </c>
    </row>
    <row r="249" spans="1:3" x14ac:dyDescent="0.3">
      <c r="A249" s="125" t="s">
        <v>1152</v>
      </c>
      <c r="B249" s="148" t="s">
        <v>1157</v>
      </c>
      <c r="C249" s="142">
        <v>0.34300000000000003</v>
      </c>
    </row>
    <row r="250" spans="1:3" x14ac:dyDescent="0.3">
      <c r="A250" s="149" t="s">
        <v>1153</v>
      </c>
      <c r="B250" s="151" t="s">
        <v>1157</v>
      </c>
      <c r="C250" s="274">
        <v>2769.7060000000001</v>
      </c>
    </row>
    <row r="251" spans="1:3" x14ac:dyDescent="0.3">
      <c r="A251" s="125" t="s">
        <v>643</v>
      </c>
      <c r="B251" s="148" t="s">
        <v>1157</v>
      </c>
      <c r="C251" s="142">
        <v>11.997</v>
      </c>
    </row>
    <row r="252" spans="1:3" x14ac:dyDescent="0.3">
      <c r="A252" s="149" t="s">
        <v>644</v>
      </c>
      <c r="B252" s="151" t="s">
        <v>1157</v>
      </c>
      <c r="C252" s="274">
        <v>0</v>
      </c>
    </row>
    <row r="253" spans="1:3" x14ac:dyDescent="0.3">
      <c r="A253" s="125" t="s">
        <v>1154</v>
      </c>
      <c r="B253" s="148" t="s">
        <v>1157</v>
      </c>
      <c r="C253" s="142">
        <v>983.47900000000004</v>
      </c>
    </row>
    <row r="255" spans="1:3" ht="52.8" x14ac:dyDescent="0.3">
      <c r="A255" s="146" t="s">
        <v>647</v>
      </c>
      <c r="B255" s="102" t="s">
        <v>646</v>
      </c>
      <c r="C255" s="102" t="s">
        <v>649</v>
      </c>
    </row>
    <row r="256" spans="1:3" x14ac:dyDescent="0.3">
      <c r="A256" s="125" t="s">
        <v>1142</v>
      </c>
      <c r="B256" s="148" t="s">
        <v>1157</v>
      </c>
      <c r="C256" s="142">
        <v>331.80399999999997</v>
      </c>
    </row>
    <row r="257" spans="1:3" x14ac:dyDescent="0.3">
      <c r="A257" s="149" t="s">
        <v>1171</v>
      </c>
      <c r="B257" s="151" t="s">
        <v>1157</v>
      </c>
      <c r="C257" s="274">
        <v>8158.835</v>
      </c>
    </row>
    <row r="258" spans="1:3" x14ac:dyDescent="0.3">
      <c r="A258" s="125" t="s">
        <v>1143</v>
      </c>
      <c r="B258" s="148" t="s">
        <v>1157</v>
      </c>
      <c r="C258" s="142">
        <v>336.81099999999998</v>
      </c>
    </row>
    <row r="259" spans="1:3" x14ac:dyDescent="0.3">
      <c r="A259" s="149" t="s">
        <v>1172</v>
      </c>
      <c r="B259" s="151" t="s">
        <v>1157</v>
      </c>
      <c r="C259" s="274">
        <v>733.74900000000002</v>
      </c>
    </row>
    <row r="260" spans="1:3" x14ac:dyDescent="0.3">
      <c r="A260" s="125" t="s">
        <v>1173</v>
      </c>
      <c r="B260" s="148" t="s">
        <v>1157</v>
      </c>
      <c r="C260" s="142">
        <v>0.379</v>
      </c>
    </row>
    <row r="261" spans="1:3" x14ac:dyDescent="0.3">
      <c r="A261" s="149" t="s">
        <v>1174</v>
      </c>
      <c r="B261" s="151" t="s">
        <v>1157</v>
      </c>
      <c r="C261" s="274">
        <v>6.0750000000000002</v>
      </c>
    </row>
    <row r="262" spans="1:3" x14ac:dyDescent="0.3">
      <c r="A262" s="125" t="s">
        <v>1175</v>
      </c>
      <c r="B262" s="148" t="s">
        <v>1157</v>
      </c>
      <c r="C262" s="142">
        <v>8.1649999999999991</v>
      </c>
    </row>
    <row r="263" spans="1:3" x14ac:dyDescent="0.3">
      <c r="A263" s="149" t="s">
        <v>1176</v>
      </c>
      <c r="B263" s="151">
        <v>0.2</v>
      </c>
      <c r="C263" s="274">
        <v>0.27100000000000002</v>
      </c>
    </row>
    <row r="264" spans="1:3" x14ac:dyDescent="0.3">
      <c r="A264" s="125" t="s">
        <v>1177</v>
      </c>
      <c r="B264" s="148" t="s">
        <v>1157</v>
      </c>
      <c r="C264" s="142">
        <v>1338.789</v>
      </c>
    </row>
    <row r="282" spans="1:12" ht="30.6" customHeight="1" x14ac:dyDescent="0.3">
      <c r="A282" s="113" t="s">
        <v>653</v>
      </c>
      <c r="B282" s="136">
        <v>2024</v>
      </c>
      <c r="C282" s="136">
        <v>2025</v>
      </c>
      <c r="D282" s="136">
        <v>2026</v>
      </c>
      <c r="E282" s="136">
        <v>2028</v>
      </c>
      <c r="F282" s="136">
        <v>2029</v>
      </c>
      <c r="G282" s="136">
        <v>2035</v>
      </c>
      <c r="H282" s="136">
        <v>2040</v>
      </c>
      <c r="I282" s="136">
        <v>2047</v>
      </c>
      <c r="J282" s="136">
        <v>2049</v>
      </c>
      <c r="K282" s="136">
        <v>2053</v>
      </c>
      <c r="L282" s="136">
        <v>2055</v>
      </c>
    </row>
    <row r="283" spans="1:12" x14ac:dyDescent="0.3">
      <c r="A283" s="125" t="s">
        <v>650</v>
      </c>
      <c r="B283" s="147">
        <v>-57.710249999999988</v>
      </c>
      <c r="C283" s="147">
        <v>-58.866841799999989</v>
      </c>
      <c r="D283" s="147">
        <v>-121.7268</v>
      </c>
      <c r="E283" s="147">
        <v>-64.588726987199991</v>
      </c>
      <c r="F283" s="147">
        <v>-66.526388796815993</v>
      </c>
      <c r="G283" s="147">
        <v>-632.09319826802209</v>
      </c>
      <c r="H283" s="147">
        <v>0</v>
      </c>
      <c r="I283" s="147">
        <v>-6690.4231531115238</v>
      </c>
      <c r="J283" s="147">
        <v>0</v>
      </c>
      <c r="K283" s="147">
        <v>-2880.9099137998528</v>
      </c>
      <c r="L283" s="147">
        <v>0</v>
      </c>
    </row>
    <row r="284" spans="1:12" x14ac:dyDescent="0.3">
      <c r="A284" s="149" t="s">
        <v>651</v>
      </c>
      <c r="B284" s="150">
        <f ca="1">SUMIFS('Fluxo de Caixa dos Acionistas'!$74:$74,'Fluxo de Caixa dos Acionistas'!$1:$1,B$282)/1000</f>
        <v>-57.710249999999988</v>
      </c>
      <c r="C284" s="150">
        <f ca="1">SUMIFS('Fluxo de Caixa dos Acionistas'!$74:$74,'Fluxo de Caixa dos Acionistas'!$1:$1,C$282)/1000</f>
        <v>-58.866841799999989</v>
      </c>
      <c r="D284" s="150">
        <f ca="1">SUMIFS('Fluxo de Caixa dos Acionistas'!$74:$74,'Fluxo de Caixa dos Acionistas'!$1:$1,D$282)/1000</f>
        <v>-121.7268</v>
      </c>
      <c r="E284" s="150">
        <f ca="1">SUMIFS('Fluxo de Caixa dos Acionistas'!$74:$74,'Fluxo de Caixa dos Acionistas'!$1:$1,E$282)/1000</f>
        <v>-64.588726987199991</v>
      </c>
      <c r="F284" s="150">
        <f ca="1">SUMIFS('Fluxo de Caixa dos Acionistas'!$74:$74,'Fluxo de Caixa dos Acionistas'!$1:$1,F$282)/1000</f>
        <v>-66.526388796815993</v>
      </c>
      <c r="G284" s="150">
        <f ca="1">SUMIFS('Fluxo de Caixa dos Acionistas'!$74:$74,'Fluxo de Caixa dos Acionistas'!$1:$1,G$282)/1000</f>
        <v>0</v>
      </c>
      <c r="H284" s="150">
        <f ca="1">SUMIFS('Fluxo de Caixa dos Acionistas'!$74:$74,'Fluxo de Caixa dos Acionistas'!$1:$1,H$282)/1000</f>
        <v>-732.7692572934875</v>
      </c>
      <c r="I284" s="150">
        <f ca="1">SUMIFS('Fluxo de Caixa dos Acionistas'!$74:$74,'Fluxo de Caixa dos Acionistas'!$1:$1,I$282)/1000</f>
        <v>0</v>
      </c>
      <c r="J284" s="150">
        <f ca="1">SUMIFS('Fluxo de Caixa dos Acionistas'!$74:$74,'Fluxo de Caixa dos Acionistas'!$1:$1,J$282)/1000</f>
        <v>0</v>
      </c>
      <c r="K284" s="150">
        <f ca="1">SUMIFS('Fluxo de Caixa dos Acionistas'!$74:$74,'Fluxo de Caixa dos Acionistas'!$1:$1,K$282)/1000</f>
        <v>-10869.625044523464</v>
      </c>
      <c r="L284" s="150">
        <f ca="1">SUMIFS('Fluxo de Caixa dos Acionistas'!$74:$74,'Fluxo de Caixa dos Acionistas'!$1:$1,L$282)/1000</f>
        <v>0</v>
      </c>
    </row>
    <row r="285" spans="1:12" x14ac:dyDescent="0.3">
      <c r="A285" s="125" t="s">
        <v>652</v>
      </c>
      <c r="B285" s="147">
        <v>-57.710249999999988</v>
      </c>
      <c r="C285" s="147">
        <v>-58.866841799999989</v>
      </c>
      <c r="D285" s="147">
        <v>-121.7268</v>
      </c>
      <c r="E285" s="147">
        <v>-64.588726987199991</v>
      </c>
      <c r="F285" s="147">
        <v>-66.526388796815993</v>
      </c>
      <c r="G285" s="147">
        <v>0</v>
      </c>
      <c r="H285" s="147">
        <v>0</v>
      </c>
      <c r="I285" s="147">
        <v>0</v>
      </c>
      <c r="J285" s="147">
        <v>-956.09767685101474</v>
      </c>
      <c r="K285" s="147">
        <v>-7988.7151307236109</v>
      </c>
      <c r="L285" s="147">
        <v>-3056.357327550264</v>
      </c>
    </row>
  </sheetData>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E9280-9C85-4A5C-B2F2-568CCD4F546F}">
  <sheetPr>
    <tabColor rgb="FF7030A0"/>
    <pageSetUpPr fitToPage="1"/>
  </sheetPr>
  <dimension ref="A1:AF67"/>
  <sheetViews>
    <sheetView showGridLines="0" zoomScale="85" zoomScaleNormal="85" zoomScaleSheetLayoutView="85" workbookViewId="0">
      <selection activeCell="Y22" sqref="Y22"/>
    </sheetView>
  </sheetViews>
  <sheetFormatPr defaultRowHeight="14.4" x14ac:dyDescent="0.3"/>
  <cols>
    <col min="1" max="1" width="5.77734375" bestFit="1" customWidth="1"/>
    <col min="2" max="2" width="1.77734375" customWidth="1"/>
    <col min="3" max="3" width="9.6640625" customWidth="1"/>
    <col min="4" max="4" width="1.77734375" customWidth="1"/>
    <col min="5" max="5" width="9.6640625" customWidth="1"/>
    <col min="6" max="6" width="1.77734375" customWidth="1"/>
    <col min="7" max="7" width="9.6640625" customWidth="1"/>
    <col min="8" max="8" width="1.77734375" customWidth="1"/>
    <col min="9" max="9" width="9.6640625" customWidth="1"/>
    <col min="10" max="10" width="1.77734375" customWidth="1"/>
    <col min="11" max="11" width="13.44140625" customWidth="1"/>
    <col min="12" max="12" width="1.77734375" customWidth="1"/>
    <col min="13" max="13" width="13.44140625" customWidth="1"/>
    <col min="14" max="14" width="1.77734375" customWidth="1"/>
    <col min="15" max="15" width="14.6640625" customWidth="1"/>
    <col min="16" max="16" width="1.77734375" customWidth="1"/>
    <col min="17" max="17" width="14.6640625" customWidth="1"/>
    <col min="18" max="18" width="1.77734375" customWidth="1"/>
    <col min="19" max="19" width="14.6640625" customWidth="1"/>
    <col min="20" max="20" width="1.77734375" customWidth="1"/>
    <col min="21" max="21" width="14.6640625" customWidth="1"/>
    <col min="22" max="22" width="1.77734375" customWidth="1"/>
    <col min="23" max="23" width="14.77734375" bestFit="1" customWidth="1"/>
    <col min="24" max="24" width="1.77734375" customWidth="1"/>
    <col min="25" max="25" width="14.6640625" customWidth="1"/>
    <col min="26" max="26" width="1.77734375" customWidth="1"/>
    <col min="27" max="27" width="14.6640625" customWidth="1"/>
    <col min="28" max="28" width="1.77734375" customWidth="1"/>
    <col min="29" max="29" width="14.6640625" customWidth="1"/>
  </cols>
  <sheetData>
    <row r="1" spans="1:32" x14ac:dyDescent="0.3">
      <c r="A1" s="226" t="s">
        <v>56</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32" x14ac:dyDescent="0.3">
      <c r="A2" s="226" t="s">
        <v>64</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32" x14ac:dyDescent="0.3">
      <c r="A3" s="226" t="s">
        <v>24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32" x14ac:dyDescent="0.3">
      <c r="A4" s="226" t="s">
        <v>718</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row>
    <row r="5" spans="1:32" x14ac:dyDescent="0.3">
      <c r="A5" s="226" t="s">
        <v>62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32" x14ac:dyDescent="0.3">
      <c r="A6" s="226" t="s">
        <v>87</v>
      </c>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32" x14ac:dyDescent="0.3">
      <c r="A7" s="226" t="s">
        <v>25</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row>
    <row r="8" spans="1:32" x14ac:dyDescent="0.3">
      <c r="A8" s="226" t="s">
        <v>26</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row>
    <row r="9" spans="1:32" x14ac:dyDescent="0.3">
      <c r="A9" s="226" t="s">
        <v>27</v>
      </c>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row>
    <row r="10" spans="1:32" x14ac:dyDescent="0.3">
      <c r="A10" s="226" t="s">
        <v>719</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32" x14ac:dyDescent="0.3">
      <c r="A11" s="226" t="s">
        <v>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row>
    <row r="12" spans="1:32" x14ac:dyDescent="0.3">
      <c r="A12" s="226" t="s">
        <v>5</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row>
    <row r="13" spans="1:32" x14ac:dyDescent="0.3">
      <c r="A13" s="226" t="s">
        <v>5</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row>
    <row r="14" spans="1:32" x14ac:dyDescent="0.3">
      <c r="K14" s="227"/>
      <c r="L14" s="14"/>
      <c r="M14" s="14"/>
    </row>
    <row r="15" spans="1:32" x14ac:dyDescent="0.3">
      <c r="C15" s="227" t="s">
        <v>31</v>
      </c>
      <c r="D15" s="14"/>
      <c r="E15" s="14"/>
      <c r="G15" s="227" t="s">
        <v>37</v>
      </c>
      <c r="H15" s="14"/>
      <c r="I15" s="14"/>
      <c r="K15" s="227" t="s">
        <v>76</v>
      </c>
      <c r="L15" s="14"/>
      <c r="M15" s="14"/>
    </row>
    <row r="16" spans="1:32" x14ac:dyDescent="0.3">
      <c r="C16" s="228" t="s">
        <v>52</v>
      </c>
      <c r="D16" s="15"/>
      <c r="E16" s="15"/>
      <c r="G16" s="228" t="s">
        <v>52</v>
      </c>
      <c r="H16" s="15"/>
      <c r="I16" s="15"/>
      <c r="K16" s="228" t="s">
        <v>77</v>
      </c>
      <c r="L16" s="15"/>
      <c r="M16" s="15"/>
      <c r="O16" s="229" t="s">
        <v>28</v>
      </c>
      <c r="Q16" s="229" t="s">
        <v>14</v>
      </c>
      <c r="AA16" s="229" t="s">
        <v>28</v>
      </c>
      <c r="AC16" s="229" t="s">
        <v>29</v>
      </c>
      <c r="AE16" s="9" t="s">
        <v>14</v>
      </c>
      <c r="AF16" s="9"/>
    </row>
    <row r="17" spans="1:32" x14ac:dyDescent="0.3">
      <c r="E17" s="229" t="s">
        <v>30</v>
      </c>
      <c r="I17" s="229" t="s">
        <v>30</v>
      </c>
      <c r="M17" s="229" t="s">
        <v>30</v>
      </c>
      <c r="O17" s="229" t="s">
        <v>31</v>
      </c>
      <c r="Q17" s="229" t="s">
        <v>33</v>
      </c>
      <c r="S17" s="229" t="s">
        <v>34</v>
      </c>
      <c r="U17" s="229" t="s">
        <v>35</v>
      </c>
      <c r="W17" s="229" t="s">
        <v>36</v>
      </c>
      <c r="AA17" s="229" t="s">
        <v>37</v>
      </c>
      <c r="AC17" s="229" t="s">
        <v>38</v>
      </c>
      <c r="AE17" s="9" t="s">
        <v>33</v>
      </c>
      <c r="AF17" s="9"/>
    </row>
    <row r="18" spans="1:32" x14ac:dyDescent="0.3">
      <c r="C18" s="229" t="s">
        <v>39</v>
      </c>
      <c r="E18" s="229" t="s">
        <v>40</v>
      </c>
      <c r="G18" s="229" t="s">
        <v>39</v>
      </c>
      <c r="I18" s="229" t="s">
        <v>40</v>
      </c>
      <c r="K18" s="229" t="s">
        <v>39</v>
      </c>
      <c r="M18" s="229" t="s">
        <v>40</v>
      </c>
      <c r="O18" s="229" t="s">
        <v>41</v>
      </c>
      <c r="Q18" s="229" t="s">
        <v>32</v>
      </c>
      <c r="S18" s="229" t="s">
        <v>42</v>
      </c>
      <c r="U18" s="229" t="s">
        <v>43</v>
      </c>
      <c r="W18" s="229" t="s">
        <v>78</v>
      </c>
      <c r="Y18" s="229" t="s">
        <v>44</v>
      </c>
      <c r="AA18" s="229" t="s">
        <v>41</v>
      </c>
      <c r="AC18" s="229" t="s">
        <v>45</v>
      </c>
      <c r="AE18" s="9" t="s">
        <v>32</v>
      </c>
      <c r="AF18" s="9" t="s">
        <v>44</v>
      </c>
    </row>
    <row r="19" spans="1:32" ht="16.8" x14ac:dyDescent="0.3">
      <c r="A19" s="230" t="s">
        <v>1</v>
      </c>
      <c r="C19" s="230" t="s">
        <v>723</v>
      </c>
      <c r="E19" s="230" t="s">
        <v>724</v>
      </c>
      <c r="G19" s="230" t="s">
        <v>723</v>
      </c>
      <c r="I19" s="230" t="s">
        <v>724</v>
      </c>
      <c r="K19" s="230" t="s">
        <v>46</v>
      </c>
      <c r="M19" s="230" t="s">
        <v>725</v>
      </c>
      <c r="O19" s="230" t="s">
        <v>728</v>
      </c>
      <c r="Q19" s="230" t="s">
        <v>728</v>
      </c>
      <c r="S19" s="230" t="s">
        <v>728</v>
      </c>
      <c r="U19" s="230" t="s">
        <v>728</v>
      </c>
      <c r="W19" s="230" t="s">
        <v>728</v>
      </c>
      <c r="Y19" s="230" t="s">
        <v>728</v>
      </c>
      <c r="AA19" s="230" t="s">
        <v>728</v>
      </c>
      <c r="AC19" s="230" t="s">
        <v>728</v>
      </c>
      <c r="AE19" s="10" t="s">
        <v>71</v>
      </c>
      <c r="AF19" s="10" t="s">
        <v>71</v>
      </c>
    </row>
    <row r="20" spans="1:32" x14ac:dyDescent="0.3">
      <c r="AE20" s="8"/>
      <c r="AF20" s="8"/>
    </row>
    <row r="21" spans="1:32" x14ac:dyDescent="0.3">
      <c r="A21" s="16">
        <v>2024</v>
      </c>
      <c r="C21" s="17">
        <v>25642</v>
      </c>
      <c r="E21" s="17">
        <v>11652</v>
      </c>
      <c r="G21" s="17">
        <v>23335</v>
      </c>
      <c r="I21" s="17">
        <v>9805</v>
      </c>
      <c r="K21" s="18">
        <v>60.22</v>
      </c>
      <c r="M21" s="18">
        <v>1.78</v>
      </c>
      <c r="O21" s="17">
        <v>1422783</v>
      </c>
      <c r="Q21" s="17">
        <v>120937</v>
      </c>
      <c r="S21" s="17">
        <v>79179</v>
      </c>
      <c r="U21" s="17">
        <v>277375</v>
      </c>
      <c r="W21" s="17">
        <v>0</v>
      </c>
      <c r="Y21" s="17">
        <v>53542</v>
      </c>
      <c r="AA21" s="17">
        <v>891750</v>
      </c>
      <c r="AC21" s="17">
        <v>845268</v>
      </c>
      <c r="AE21" s="13">
        <f t="shared" ref="AE21:AE57" si="0">IFERROR(Q21/O21,0)</f>
        <v>8.5000312767301828E-2</v>
      </c>
      <c r="AF21" s="13">
        <f t="shared" ref="AF21:AF57" si="1">IFERROR(Y21/O21,0)</f>
        <v>3.7631880617072316E-2</v>
      </c>
    </row>
    <row r="22" spans="1:32" x14ac:dyDescent="0.3">
      <c r="A22" s="16">
        <v>2025</v>
      </c>
      <c r="C22" s="17">
        <v>35049</v>
      </c>
      <c r="E22" s="17">
        <v>20455</v>
      </c>
      <c r="G22" s="17">
        <v>28383</v>
      </c>
      <c r="I22" s="17">
        <v>15113</v>
      </c>
      <c r="K22" s="18">
        <v>60.53</v>
      </c>
      <c r="M22" s="18">
        <v>1.79</v>
      </c>
      <c r="O22" s="17">
        <v>1744976</v>
      </c>
      <c r="Q22" s="17">
        <v>148323</v>
      </c>
      <c r="S22" s="17">
        <v>70446</v>
      </c>
      <c r="U22" s="17">
        <v>75022</v>
      </c>
      <c r="W22" s="17">
        <v>0</v>
      </c>
      <c r="Y22" s="17">
        <v>36365</v>
      </c>
      <c r="AA22" s="17">
        <v>1414819</v>
      </c>
      <c r="AC22" s="17">
        <v>1213956</v>
      </c>
      <c r="AE22" s="13">
        <f t="shared" si="0"/>
        <v>8.5000022922951377E-2</v>
      </c>
      <c r="AF22" s="13">
        <f t="shared" si="1"/>
        <v>2.0839828169556488E-2</v>
      </c>
    </row>
    <row r="23" spans="1:32" x14ac:dyDescent="0.3">
      <c r="A23" s="16">
        <v>2026</v>
      </c>
      <c r="C23" s="17">
        <v>32167</v>
      </c>
      <c r="E23" s="17">
        <v>19839</v>
      </c>
      <c r="G23" s="17">
        <v>25695</v>
      </c>
      <c r="I23" s="17">
        <v>14433</v>
      </c>
      <c r="K23" s="18">
        <v>60.57</v>
      </c>
      <c r="M23" s="18">
        <v>1.78</v>
      </c>
      <c r="O23" s="17">
        <v>1582009</v>
      </c>
      <c r="Q23" s="17">
        <v>134470</v>
      </c>
      <c r="S23" s="17">
        <v>69507</v>
      </c>
      <c r="U23" s="17">
        <v>6608</v>
      </c>
      <c r="W23" s="17">
        <v>0</v>
      </c>
      <c r="Y23" s="17">
        <v>28688</v>
      </c>
      <c r="AA23" s="17">
        <v>1342736</v>
      </c>
      <c r="AC23" s="17">
        <v>1042901</v>
      </c>
      <c r="AE23" s="13">
        <f t="shared" si="0"/>
        <v>8.499951643764353E-2</v>
      </c>
      <c r="AF23" s="13">
        <f t="shared" si="1"/>
        <v>1.8133904421529838E-2</v>
      </c>
    </row>
    <row r="24" spans="1:32" x14ac:dyDescent="0.3">
      <c r="A24" s="16">
        <v>2027</v>
      </c>
      <c r="C24" s="17">
        <v>29604</v>
      </c>
      <c r="E24" s="17">
        <v>22241</v>
      </c>
      <c r="G24" s="17">
        <v>23434</v>
      </c>
      <c r="I24" s="17">
        <v>15765</v>
      </c>
      <c r="K24" s="18">
        <v>60.59</v>
      </c>
      <c r="M24" s="18">
        <v>1.79</v>
      </c>
      <c r="O24" s="17">
        <v>1448076</v>
      </c>
      <c r="Q24" s="17">
        <v>123087</v>
      </c>
      <c r="S24" s="17">
        <v>68857</v>
      </c>
      <c r="U24" s="17">
        <v>9607</v>
      </c>
      <c r="W24" s="17">
        <v>0</v>
      </c>
      <c r="Y24" s="17">
        <v>34570</v>
      </c>
      <c r="AA24" s="17">
        <v>1211956</v>
      </c>
      <c r="AC24" s="17">
        <v>852098</v>
      </c>
      <c r="AE24" s="13">
        <f t="shared" si="0"/>
        <v>8.5000372908604238E-2</v>
      </c>
      <c r="AF24" s="13">
        <f t="shared" si="1"/>
        <v>2.3873056386543249E-2</v>
      </c>
    </row>
    <row r="25" spans="1:32" x14ac:dyDescent="0.3">
      <c r="A25" s="16">
        <v>2028</v>
      </c>
      <c r="C25" s="17">
        <v>27206</v>
      </c>
      <c r="E25" s="17">
        <v>26272</v>
      </c>
      <c r="G25" s="17">
        <v>21375</v>
      </c>
      <c r="I25" s="17">
        <v>18183</v>
      </c>
      <c r="K25" s="18">
        <v>60.62</v>
      </c>
      <c r="M25" s="18">
        <v>1.78</v>
      </c>
      <c r="O25" s="17">
        <v>1328074</v>
      </c>
      <c r="Q25" s="17">
        <v>112886</v>
      </c>
      <c r="S25" s="17">
        <v>68351</v>
      </c>
      <c r="U25" s="17">
        <v>6608</v>
      </c>
      <c r="W25" s="17">
        <v>0</v>
      </c>
      <c r="Y25" s="17">
        <v>31946</v>
      </c>
      <c r="AA25" s="17">
        <v>1108283</v>
      </c>
      <c r="AC25" s="17">
        <v>705349</v>
      </c>
      <c r="AE25" s="13">
        <f t="shared" si="0"/>
        <v>8.4999781638673749E-2</v>
      </c>
      <c r="AF25" s="13">
        <f t="shared" si="1"/>
        <v>2.4054382511817865E-2</v>
      </c>
    </row>
    <row r="26" spans="1:32" ht="21.9" customHeight="1" x14ac:dyDescent="0.3">
      <c r="A26" s="16">
        <v>2029</v>
      </c>
      <c r="C26" s="17">
        <v>23551</v>
      </c>
      <c r="E26" s="17">
        <v>31036</v>
      </c>
      <c r="G26" s="17">
        <v>18543</v>
      </c>
      <c r="I26" s="17">
        <v>21084</v>
      </c>
      <c r="K26" s="18">
        <v>60.6</v>
      </c>
      <c r="M26" s="18">
        <v>1.79</v>
      </c>
      <c r="O26" s="17">
        <v>1161490</v>
      </c>
      <c r="Q26" s="17">
        <v>98727</v>
      </c>
      <c r="S26" s="17">
        <v>68501</v>
      </c>
      <c r="U26" s="17">
        <v>6607</v>
      </c>
      <c r="W26" s="17">
        <v>0</v>
      </c>
      <c r="Y26" s="17">
        <v>22506</v>
      </c>
      <c r="AA26" s="17">
        <v>965149</v>
      </c>
      <c r="AC26" s="17">
        <v>556030</v>
      </c>
      <c r="AE26" s="13">
        <f t="shared" si="0"/>
        <v>8.5000301337075659E-2</v>
      </c>
      <c r="AF26" s="13">
        <f t="shared" si="1"/>
        <v>1.9376834927549956E-2</v>
      </c>
    </row>
    <row r="27" spans="1:32" x14ac:dyDescent="0.3">
      <c r="A27" s="16">
        <v>2030</v>
      </c>
      <c r="C27" s="17">
        <v>18858</v>
      </c>
      <c r="E27" s="17">
        <v>26429</v>
      </c>
      <c r="G27" s="17">
        <v>15132</v>
      </c>
      <c r="I27" s="17">
        <v>17990</v>
      </c>
      <c r="K27" s="18">
        <v>60.56</v>
      </c>
      <c r="M27" s="18">
        <v>1.78</v>
      </c>
      <c r="O27" s="17">
        <v>948415</v>
      </c>
      <c r="Q27" s="17">
        <v>80615</v>
      </c>
      <c r="S27" s="17">
        <v>69807</v>
      </c>
      <c r="U27" s="17">
        <v>6608</v>
      </c>
      <c r="W27" s="17">
        <v>0</v>
      </c>
      <c r="Y27" s="17">
        <v>9531</v>
      </c>
      <c r="AA27" s="17">
        <v>781854</v>
      </c>
      <c r="AC27" s="17">
        <v>407737</v>
      </c>
      <c r="AE27" s="13">
        <f t="shared" si="0"/>
        <v>8.4999710042544668E-2</v>
      </c>
      <c r="AF27" s="13">
        <f t="shared" si="1"/>
        <v>1.004939820648134E-2</v>
      </c>
    </row>
    <row r="28" spans="1:32" x14ac:dyDescent="0.3">
      <c r="A28" s="16">
        <v>2031</v>
      </c>
      <c r="C28" s="17">
        <v>15564</v>
      </c>
      <c r="E28" s="17">
        <v>18545</v>
      </c>
      <c r="G28" s="17">
        <v>12677</v>
      </c>
      <c r="I28" s="17">
        <v>12810</v>
      </c>
      <c r="K28" s="18">
        <v>60.51</v>
      </c>
      <c r="M28" s="18">
        <v>1.79</v>
      </c>
      <c r="O28" s="17">
        <v>790028</v>
      </c>
      <c r="Q28" s="17">
        <v>67152</v>
      </c>
      <c r="S28" s="17">
        <v>70881</v>
      </c>
      <c r="U28" s="17">
        <v>6607</v>
      </c>
      <c r="W28" s="17">
        <v>0</v>
      </c>
      <c r="Y28" s="17">
        <v>1191</v>
      </c>
      <c r="AA28" s="17">
        <v>644196</v>
      </c>
      <c r="AC28" s="17">
        <v>304105</v>
      </c>
      <c r="AE28" s="13">
        <f t="shared" si="0"/>
        <v>8.499951900438972E-2</v>
      </c>
      <c r="AF28" s="13">
        <f t="shared" si="1"/>
        <v>1.5075415048580556E-3</v>
      </c>
    </row>
    <row r="29" spans="1:32" x14ac:dyDescent="0.3">
      <c r="A29" s="16">
        <v>2032</v>
      </c>
      <c r="C29" s="17">
        <v>13722</v>
      </c>
      <c r="E29" s="17">
        <v>12796</v>
      </c>
      <c r="G29" s="17">
        <v>11218</v>
      </c>
      <c r="I29" s="17">
        <v>9021</v>
      </c>
      <c r="K29" s="18">
        <v>60.5</v>
      </c>
      <c r="M29" s="18">
        <v>1.78</v>
      </c>
      <c r="O29" s="17">
        <v>694786</v>
      </c>
      <c r="Q29" s="17">
        <v>59057</v>
      </c>
      <c r="S29" s="17">
        <v>71119</v>
      </c>
      <c r="U29" s="17">
        <v>6608</v>
      </c>
      <c r="W29" s="17">
        <v>0</v>
      </c>
      <c r="Y29" s="17">
        <v>0</v>
      </c>
      <c r="AA29" s="17">
        <v>558003</v>
      </c>
      <c r="AC29" s="17">
        <v>238447</v>
      </c>
      <c r="AE29" s="13">
        <f t="shared" si="0"/>
        <v>8.5000273465498724E-2</v>
      </c>
      <c r="AF29" s="13">
        <f t="shared" si="1"/>
        <v>0</v>
      </c>
    </row>
    <row r="30" spans="1:32" x14ac:dyDescent="0.3">
      <c r="A30" s="16">
        <v>2033</v>
      </c>
      <c r="C30" s="17">
        <v>12709</v>
      </c>
      <c r="E30" s="17">
        <v>9742</v>
      </c>
      <c r="G30" s="17">
        <v>10314</v>
      </c>
      <c r="I30" s="17">
        <v>6973</v>
      </c>
      <c r="K30" s="18">
        <v>60.53</v>
      </c>
      <c r="M30" s="18">
        <v>1.79</v>
      </c>
      <c r="O30" s="17">
        <v>636660</v>
      </c>
      <c r="Q30" s="17">
        <v>54116</v>
      </c>
      <c r="S30" s="17">
        <v>70609</v>
      </c>
      <c r="U30" s="17">
        <v>6607</v>
      </c>
      <c r="W30" s="17">
        <v>0</v>
      </c>
      <c r="Y30" s="17">
        <v>0</v>
      </c>
      <c r="AA30" s="17">
        <v>505327</v>
      </c>
      <c r="AC30" s="17">
        <v>195469</v>
      </c>
      <c r="AE30" s="13">
        <f t="shared" si="0"/>
        <v>8.499984293029246E-2</v>
      </c>
      <c r="AF30" s="13">
        <f t="shared" si="1"/>
        <v>0</v>
      </c>
    </row>
    <row r="31" spans="1:32" ht="21.9" customHeight="1" x14ac:dyDescent="0.3">
      <c r="A31" s="16">
        <v>2034</v>
      </c>
      <c r="C31" s="17">
        <v>11876</v>
      </c>
      <c r="E31" s="17">
        <v>7971</v>
      </c>
      <c r="G31" s="17">
        <v>9567</v>
      </c>
      <c r="I31" s="17">
        <v>5765</v>
      </c>
      <c r="K31" s="18">
        <v>60.54</v>
      </c>
      <c r="M31" s="18">
        <v>1.78</v>
      </c>
      <c r="O31" s="17">
        <v>589549</v>
      </c>
      <c r="Q31" s="17">
        <v>50112</v>
      </c>
      <c r="S31" s="17">
        <v>70085</v>
      </c>
      <c r="U31" s="17">
        <v>6608</v>
      </c>
      <c r="W31" s="17">
        <v>0</v>
      </c>
      <c r="Y31" s="17">
        <v>0</v>
      </c>
      <c r="AA31" s="17">
        <v>462745</v>
      </c>
      <c r="AC31" s="17">
        <v>162031</v>
      </c>
      <c r="AE31" s="13">
        <f t="shared" si="0"/>
        <v>8.500056823096977E-2</v>
      </c>
      <c r="AF31" s="13">
        <f t="shared" si="1"/>
        <v>0</v>
      </c>
    </row>
    <row r="32" spans="1:32" x14ac:dyDescent="0.3">
      <c r="A32" s="16">
        <v>2035</v>
      </c>
      <c r="C32" s="17">
        <v>10719</v>
      </c>
      <c r="E32" s="17">
        <v>6521</v>
      </c>
      <c r="G32" s="17">
        <v>8640</v>
      </c>
      <c r="I32" s="17">
        <v>4771</v>
      </c>
      <c r="K32" s="18">
        <v>60.54</v>
      </c>
      <c r="M32" s="18">
        <v>1.79</v>
      </c>
      <c r="O32" s="17">
        <v>531549</v>
      </c>
      <c r="Q32" s="17">
        <v>45182</v>
      </c>
      <c r="S32" s="17">
        <v>70117</v>
      </c>
      <c r="U32" s="17">
        <v>6607</v>
      </c>
      <c r="W32" s="17">
        <v>0</v>
      </c>
      <c r="Y32" s="17">
        <v>0</v>
      </c>
      <c r="AA32" s="17">
        <v>409643</v>
      </c>
      <c r="AC32" s="17">
        <v>129841</v>
      </c>
      <c r="AE32" s="13">
        <f t="shared" si="0"/>
        <v>8.500063023352504E-2</v>
      </c>
      <c r="AF32" s="13">
        <f t="shared" si="1"/>
        <v>0</v>
      </c>
    </row>
    <row r="33" spans="1:32" x14ac:dyDescent="0.3">
      <c r="A33" s="16">
        <v>2036</v>
      </c>
      <c r="C33" s="17">
        <v>8901</v>
      </c>
      <c r="E33" s="17">
        <v>5002</v>
      </c>
      <c r="G33" s="17">
        <v>7314</v>
      </c>
      <c r="I33" s="17">
        <v>3743</v>
      </c>
      <c r="K33" s="18">
        <v>60.49</v>
      </c>
      <c r="M33" s="18">
        <v>1.78</v>
      </c>
      <c r="O33" s="17">
        <v>449101</v>
      </c>
      <c r="Q33" s="17">
        <v>38173</v>
      </c>
      <c r="S33" s="17">
        <v>71475</v>
      </c>
      <c r="U33" s="17">
        <v>6608</v>
      </c>
      <c r="W33" s="17">
        <v>0</v>
      </c>
      <c r="Y33" s="17">
        <v>0</v>
      </c>
      <c r="AA33" s="17">
        <v>332845</v>
      </c>
      <c r="AC33" s="17">
        <v>95500</v>
      </c>
      <c r="AE33" s="13">
        <f t="shared" si="0"/>
        <v>8.4998697397690046E-2</v>
      </c>
      <c r="AF33" s="13">
        <f t="shared" si="1"/>
        <v>0</v>
      </c>
    </row>
    <row r="34" spans="1:32" x14ac:dyDescent="0.3">
      <c r="A34" s="16">
        <v>2037</v>
      </c>
      <c r="C34" s="17">
        <v>7580</v>
      </c>
      <c r="E34" s="17">
        <v>4123</v>
      </c>
      <c r="G34" s="17">
        <v>6315</v>
      </c>
      <c r="I34" s="17">
        <v>3128</v>
      </c>
      <c r="K34" s="18">
        <v>60.45</v>
      </c>
      <c r="M34" s="18">
        <v>1.79</v>
      </c>
      <c r="O34" s="17">
        <v>387369</v>
      </c>
      <c r="Q34" s="17">
        <v>32927</v>
      </c>
      <c r="S34" s="17">
        <v>72511</v>
      </c>
      <c r="U34" s="17">
        <v>6607</v>
      </c>
      <c r="W34" s="17">
        <v>0</v>
      </c>
      <c r="Y34" s="17">
        <v>0</v>
      </c>
      <c r="AA34" s="17">
        <v>275324</v>
      </c>
      <c r="AC34" s="17">
        <v>71507</v>
      </c>
      <c r="AE34" s="13">
        <f t="shared" si="0"/>
        <v>8.5001639263854359E-2</v>
      </c>
      <c r="AF34" s="13">
        <f t="shared" si="1"/>
        <v>0</v>
      </c>
    </row>
    <row r="35" spans="1:32" x14ac:dyDescent="0.3">
      <c r="A35" s="16">
        <v>2038</v>
      </c>
      <c r="C35" s="17">
        <v>6687</v>
      </c>
      <c r="E35" s="17">
        <v>3689</v>
      </c>
      <c r="G35" s="17">
        <v>5619</v>
      </c>
      <c r="I35" s="17">
        <v>2808</v>
      </c>
      <c r="K35" s="18">
        <v>60.43</v>
      </c>
      <c r="M35" s="18">
        <v>1.78</v>
      </c>
      <c r="O35" s="17">
        <v>344549</v>
      </c>
      <c r="Q35" s="17">
        <v>29286</v>
      </c>
      <c r="S35" s="17">
        <v>73087</v>
      </c>
      <c r="U35" s="17">
        <v>6608</v>
      </c>
      <c r="W35" s="17">
        <v>0</v>
      </c>
      <c r="Y35" s="17">
        <v>0</v>
      </c>
      <c r="AA35" s="17">
        <v>235567</v>
      </c>
      <c r="AC35" s="17">
        <v>55383</v>
      </c>
      <c r="AE35" s="13">
        <f t="shared" si="0"/>
        <v>8.4998069940705093E-2</v>
      </c>
      <c r="AF35" s="13">
        <f t="shared" si="1"/>
        <v>0</v>
      </c>
    </row>
    <row r="36" spans="1:32" ht="21.9" customHeight="1" x14ac:dyDescent="0.3">
      <c r="A36" s="16">
        <v>2039</v>
      </c>
      <c r="C36" s="17">
        <v>5975</v>
      </c>
      <c r="E36" s="17">
        <v>0</v>
      </c>
      <c r="G36" s="17">
        <v>5047</v>
      </c>
      <c r="I36" s="17">
        <v>0</v>
      </c>
      <c r="K36" s="18">
        <v>60.41</v>
      </c>
      <c r="M36" s="18">
        <v>1.79</v>
      </c>
      <c r="O36" s="17">
        <v>304908</v>
      </c>
      <c r="Q36" s="17">
        <v>26301</v>
      </c>
      <c r="S36" s="17">
        <v>73529</v>
      </c>
      <c r="U36" s="17">
        <v>6607</v>
      </c>
      <c r="W36" s="17">
        <v>0</v>
      </c>
      <c r="Y36" s="17">
        <v>0</v>
      </c>
      <c r="AA36" s="17">
        <v>198471</v>
      </c>
      <c r="AC36" s="17">
        <v>42238</v>
      </c>
      <c r="AE36" s="13">
        <f t="shared" si="0"/>
        <v>8.6258805934904953E-2</v>
      </c>
      <c r="AF36" s="13">
        <f t="shared" si="1"/>
        <v>0</v>
      </c>
    </row>
    <row r="37" spans="1:32" x14ac:dyDescent="0.3">
      <c r="A37" s="16">
        <v>2040</v>
      </c>
      <c r="C37" s="17">
        <v>5367</v>
      </c>
      <c r="E37" s="17">
        <v>0</v>
      </c>
      <c r="G37" s="17">
        <v>4566</v>
      </c>
      <c r="I37" s="17">
        <v>0</v>
      </c>
      <c r="K37" s="18">
        <v>60.4</v>
      </c>
      <c r="M37" s="18">
        <v>1.78</v>
      </c>
      <c r="O37" s="17">
        <v>275746</v>
      </c>
      <c r="Q37" s="17">
        <v>23782</v>
      </c>
      <c r="S37" s="17">
        <v>73941</v>
      </c>
      <c r="U37" s="17">
        <v>6608</v>
      </c>
      <c r="W37" s="17">
        <v>0</v>
      </c>
      <c r="Y37" s="17">
        <v>0</v>
      </c>
      <c r="AA37" s="17">
        <v>171416</v>
      </c>
      <c r="AC37" s="17">
        <v>33023</v>
      </c>
      <c r="AE37" s="13">
        <f t="shared" si="0"/>
        <v>8.6246038020497129E-2</v>
      </c>
      <c r="AF37" s="13">
        <f t="shared" si="1"/>
        <v>0</v>
      </c>
    </row>
    <row r="38" spans="1:32" x14ac:dyDescent="0.3">
      <c r="A38" s="16">
        <v>2041</v>
      </c>
      <c r="C38" s="17">
        <v>4836</v>
      </c>
      <c r="E38" s="17">
        <v>0</v>
      </c>
      <c r="G38" s="17">
        <v>4128</v>
      </c>
      <c r="I38" s="17">
        <v>0</v>
      </c>
      <c r="K38" s="18">
        <v>60.38</v>
      </c>
      <c r="M38" s="18">
        <v>1.79</v>
      </c>
      <c r="O38" s="17">
        <v>249257</v>
      </c>
      <c r="Q38" s="17">
        <v>21495</v>
      </c>
      <c r="S38" s="17">
        <v>74304</v>
      </c>
      <c r="U38" s="17">
        <v>6607</v>
      </c>
      <c r="W38" s="17">
        <v>0</v>
      </c>
      <c r="Y38" s="17">
        <v>0</v>
      </c>
      <c r="AA38" s="17">
        <v>146851</v>
      </c>
      <c r="AC38" s="17">
        <v>25608</v>
      </c>
      <c r="AE38" s="13">
        <f t="shared" si="0"/>
        <v>8.6236294266560223E-2</v>
      </c>
      <c r="AF38" s="13">
        <f t="shared" si="1"/>
        <v>0</v>
      </c>
    </row>
    <row r="39" spans="1:32" x14ac:dyDescent="0.3">
      <c r="A39" s="16">
        <v>2042</v>
      </c>
      <c r="C39" s="17">
        <v>4380</v>
      </c>
      <c r="E39" s="17">
        <v>0</v>
      </c>
      <c r="G39" s="17">
        <v>3760</v>
      </c>
      <c r="I39" s="17">
        <v>0</v>
      </c>
      <c r="K39" s="18">
        <v>60.38</v>
      </c>
      <c r="M39" s="18">
        <v>1.78</v>
      </c>
      <c r="O39" s="17">
        <v>227016</v>
      </c>
      <c r="Q39" s="17">
        <v>19577</v>
      </c>
      <c r="S39" s="17">
        <v>74618</v>
      </c>
      <c r="U39" s="17">
        <v>6608</v>
      </c>
      <c r="W39" s="17">
        <v>0</v>
      </c>
      <c r="Y39" s="17">
        <v>0</v>
      </c>
      <c r="AA39" s="17">
        <v>126213</v>
      </c>
      <c r="AC39" s="17">
        <v>19924</v>
      </c>
      <c r="AE39" s="13">
        <f t="shared" si="0"/>
        <v>8.6236212425555903E-2</v>
      </c>
      <c r="AF39" s="13">
        <f t="shared" si="1"/>
        <v>0</v>
      </c>
    </row>
    <row r="40" spans="1:32" x14ac:dyDescent="0.3">
      <c r="A40" s="16">
        <v>2043</v>
      </c>
      <c r="C40" s="17">
        <v>4000</v>
      </c>
      <c r="E40" s="17">
        <v>0</v>
      </c>
      <c r="G40" s="17">
        <v>3440</v>
      </c>
      <c r="I40" s="17">
        <v>0</v>
      </c>
      <c r="K40" s="18">
        <v>60.36</v>
      </c>
      <c r="M40" s="18">
        <v>1.79</v>
      </c>
      <c r="O40" s="17">
        <v>207677</v>
      </c>
      <c r="Q40" s="17">
        <v>17910</v>
      </c>
      <c r="S40" s="17">
        <v>74884</v>
      </c>
      <c r="U40" s="17">
        <v>6607</v>
      </c>
      <c r="W40" s="17">
        <v>0</v>
      </c>
      <c r="Y40" s="17">
        <v>0</v>
      </c>
      <c r="AA40" s="17">
        <v>108275</v>
      </c>
      <c r="AC40" s="17">
        <v>15472</v>
      </c>
      <c r="AE40" s="13">
        <f t="shared" si="0"/>
        <v>8.6239689517857057E-2</v>
      </c>
      <c r="AF40" s="13">
        <f t="shared" si="1"/>
        <v>0</v>
      </c>
    </row>
    <row r="41" spans="1:32" ht="21.9" customHeight="1" x14ac:dyDescent="0.3">
      <c r="A41" s="16">
        <v>2044</v>
      </c>
      <c r="C41" s="17">
        <v>3681</v>
      </c>
      <c r="E41" s="17">
        <v>0</v>
      </c>
      <c r="G41" s="17">
        <v>3176</v>
      </c>
      <c r="I41" s="17">
        <v>0</v>
      </c>
      <c r="K41" s="18">
        <v>60.36</v>
      </c>
      <c r="M41" s="18">
        <v>1.78</v>
      </c>
      <c r="O41" s="17">
        <v>191663</v>
      </c>
      <c r="Q41" s="17">
        <v>16530</v>
      </c>
      <c r="S41" s="17">
        <v>75052</v>
      </c>
      <c r="U41" s="17">
        <v>6608</v>
      </c>
      <c r="W41" s="17">
        <v>0</v>
      </c>
      <c r="Y41" s="17">
        <v>0</v>
      </c>
      <c r="AA41" s="17">
        <v>93474</v>
      </c>
      <c r="AC41" s="17">
        <v>12090</v>
      </c>
      <c r="AE41" s="13">
        <f t="shared" si="0"/>
        <v>8.6245128167669299E-2</v>
      </c>
      <c r="AF41" s="13">
        <f t="shared" si="1"/>
        <v>0</v>
      </c>
    </row>
    <row r="42" spans="1:32" x14ac:dyDescent="0.3">
      <c r="A42" s="16">
        <v>2045</v>
      </c>
      <c r="C42" s="17">
        <v>3349</v>
      </c>
      <c r="E42" s="17">
        <v>0</v>
      </c>
      <c r="G42" s="17">
        <v>2893</v>
      </c>
      <c r="I42" s="17">
        <v>0</v>
      </c>
      <c r="K42" s="18">
        <v>60.36</v>
      </c>
      <c r="M42" s="18">
        <v>1.79</v>
      </c>
      <c r="O42" s="17">
        <v>174666</v>
      </c>
      <c r="Q42" s="17">
        <v>15065</v>
      </c>
      <c r="S42" s="17">
        <v>75098</v>
      </c>
      <c r="U42" s="17">
        <v>6607</v>
      </c>
      <c r="W42" s="17">
        <v>0</v>
      </c>
      <c r="Y42" s="17">
        <v>0</v>
      </c>
      <c r="AA42" s="17">
        <v>77896</v>
      </c>
      <c r="AC42" s="17">
        <v>9121</v>
      </c>
      <c r="AE42" s="13">
        <f t="shared" si="0"/>
        <v>8.6250329199729775E-2</v>
      </c>
      <c r="AF42" s="13">
        <f t="shared" si="1"/>
        <v>0</v>
      </c>
    </row>
    <row r="43" spans="1:32" x14ac:dyDescent="0.3">
      <c r="A43" s="16">
        <v>2046</v>
      </c>
      <c r="C43" s="17">
        <v>3109</v>
      </c>
      <c r="E43" s="17">
        <v>0</v>
      </c>
      <c r="G43" s="17">
        <v>2682</v>
      </c>
      <c r="I43" s="17">
        <v>0</v>
      </c>
      <c r="K43" s="18">
        <v>60.35</v>
      </c>
      <c r="M43" s="18">
        <v>1.78</v>
      </c>
      <c r="O43" s="17">
        <v>161848</v>
      </c>
      <c r="Q43" s="17">
        <v>13959</v>
      </c>
      <c r="S43" s="17">
        <v>75123</v>
      </c>
      <c r="U43" s="17">
        <v>6608</v>
      </c>
      <c r="W43" s="17">
        <v>0</v>
      </c>
      <c r="Y43" s="17">
        <v>0</v>
      </c>
      <c r="AA43" s="17">
        <v>66159</v>
      </c>
      <c r="AC43" s="17">
        <v>7012</v>
      </c>
      <c r="AE43" s="13">
        <f t="shared" si="0"/>
        <v>8.6247590331669219E-2</v>
      </c>
      <c r="AF43" s="13">
        <f t="shared" si="1"/>
        <v>0</v>
      </c>
    </row>
    <row r="44" spans="1:32" x14ac:dyDescent="0.3">
      <c r="A44" s="16">
        <v>2047</v>
      </c>
      <c r="C44" s="17">
        <v>2898</v>
      </c>
      <c r="E44" s="17">
        <v>0</v>
      </c>
      <c r="G44" s="17">
        <v>2501</v>
      </c>
      <c r="I44" s="17">
        <v>0</v>
      </c>
      <c r="K44" s="18">
        <v>60.36</v>
      </c>
      <c r="M44" s="18">
        <v>1.79</v>
      </c>
      <c r="O44" s="17">
        <v>150969</v>
      </c>
      <c r="Q44" s="17">
        <v>13021</v>
      </c>
      <c r="S44" s="17">
        <v>75101</v>
      </c>
      <c r="U44" s="17">
        <v>6607</v>
      </c>
      <c r="W44" s="17">
        <v>0</v>
      </c>
      <c r="Y44" s="17">
        <v>0</v>
      </c>
      <c r="AA44" s="17">
        <v>56239</v>
      </c>
      <c r="AC44" s="17">
        <v>5396</v>
      </c>
      <c r="AE44" s="13">
        <f t="shared" si="0"/>
        <v>8.624949492942259E-2</v>
      </c>
      <c r="AF44" s="13">
        <f t="shared" si="1"/>
        <v>0</v>
      </c>
    </row>
    <row r="45" spans="1:32" x14ac:dyDescent="0.3">
      <c r="A45" s="16">
        <v>2048</v>
      </c>
      <c r="C45" s="17">
        <v>2719</v>
      </c>
      <c r="E45" s="17">
        <v>0</v>
      </c>
      <c r="G45" s="17">
        <v>2346</v>
      </c>
      <c r="I45" s="17">
        <v>0</v>
      </c>
      <c r="K45" s="18">
        <v>60.36</v>
      </c>
      <c r="M45" s="18">
        <v>1.78</v>
      </c>
      <c r="O45" s="17">
        <v>141556</v>
      </c>
      <c r="Q45" s="17">
        <v>12211</v>
      </c>
      <c r="S45" s="17">
        <v>75057</v>
      </c>
      <c r="U45" s="17">
        <v>6608</v>
      </c>
      <c r="W45" s="17">
        <v>0</v>
      </c>
      <c r="Y45" s="17">
        <v>0</v>
      </c>
      <c r="AA45" s="17">
        <v>47681</v>
      </c>
      <c r="AC45" s="17">
        <v>4141</v>
      </c>
      <c r="AE45" s="13">
        <f t="shared" si="0"/>
        <v>8.6262680493938801E-2</v>
      </c>
      <c r="AF45" s="13">
        <f t="shared" si="1"/>
        <v>0</v>
      </c>
    </row>
    <row r="46" spans="1:32" ht="21.9" customHeight="1" x14ac:dyDescent="0.3">
      <c r="A46" s="16">
        <v>2049</v>
      </c>
      <c r="C46" s="17">
        <v>2538</v>
      </c>
      <c r="E46" s="17">
        <v>0</v>
      </c>
      <c r="G46" s="17">
        <v>2190</v>
      </c>
      <c r="I46" s="17">
        <v>0</v>
      </c>
      <c r="K46" s="18">
        <v>60.36</v>
      </c>
      <c r="M46" s="18">
        <v>1.79</v>
      </c>
      <c r="O46" s="17">
        <v>132191</v>
      </c>
      <c r="Q46" s="17">
        <v>11404</v>
      </c>
      <c r="S46" s="17">
        <v>75019</v>
      </c>
      <c r="U46" s="17">
        <v>6607</v>
      </c>
      <c r="W46" s="17">
        <v>0</v>
      </c>
      <c r="Y46" s="17">
        <v>0</v>
      </c>
      <c r="AA46" s="17">
        <v>39159</v>
      </c>
      <c r="AC46" s="17">
        <v>3078</v>
      </c>
      <c r="AE46" s="13">
        <f t="shared" si="0"/>
        <v>8.6269110605109278E-2</v>
      </c>
      <c r="AF46" s="13">
        <f t="shared" si="1"/>
        <v>0</v>
      </c>
    </row>
    <row r="47" spans="1:32" x14ac:dyDescent="0.3">
      <c r="A47" s="16">
        <v>2050</v>
      </c>
      <c r="C47" s="17">
        <v>2385</v>
      </c>
      <c r="E47" s="17">
        <v>0</v>
      </c>
      <c r="G47" s="17">
        <v>2054</v>
      </c>
      <c r="I47" s="17">
        <v>0</v>
      </c>
      <c r="K47" s="18">
        <v>60.36</v>
      </c>
      <c r="M47" s="18">
        <v>1.78</v>
      </c>
      <c r="O47" s="17">
        <v>123985</v>
      </c>
      <c r="Q47" s="17">
        <v>10698</v>
      </c>
      <c r="S47" s="17">
        <v>74980</v>
      </c>
      <c r="U47" s="17">
        <v>0</v>
      </c>
      <c r="W47" s="17">
        <v>0</v>
      </c>
      <c r="Y47" s="17">
        <v>0</v>
      </c>
      <c r="AA47" s="17">
        <v>38307</v>
      </c>
      <c r="AC47" s="17">
        <v>2726</v>
      </c>
      <c r="AE47" s="13">
        <f t="shared" si="0"/>
        <v>8.6284631205387749E-2</v>
      </c>
      <c r="AF47" s="13">
        <f t="shared" si="1"/>
        <v>0</v>
      </c>
    </row>
    <row r="48" spans="1:32" x14ac:dyDescent="0.3">
      <c r="A48" s="16">
        <v>2051</v>
      </c>
      <c r="C48" s="17">
        <v>2242</v>
      </c>
      <c r="E48" s="17">
        <v>0</v>
      </c>
      <c r="G48" s="17">
        <v>1930</v>
      </c>
      <c r="I48" s="17">
        <v>0</v>
      </c>
      <c r="K48" s="18">
        <v>60.36</v>
      </c>
      <c r="M48" s="18">
        <v>1.78</v>
      </c>
      <c r="O48" s="17">
        <v>116494</v>
      </c>
      <c r="Q48" s="17">
        <v>10053</v>
      </c>
      <c r="S48" s="17">
        <v>74929</v>
      </c>
      <c r="U48" s="17">
        <v>0</v>
      </c>
      <c r="W48" s="17">
        <v>0</v>
      </c>
      <c r="Y48" s="17">
        <v>0</v>
      </c>
      <c r="AA48" s="17">
        <v>31513</v>
      </c>
      <c r="AC48" s="17">
        <v>2030</v>
      </c>
      <c r="AE48" s="13">
        <f t="shared" si="0"/>
        <v>8.6296289937679196E-2</v>
      </c>
      <c r="AF48" s="13">
        <f t="shared" si="1"/>
        <v>0</v>
      </c>
    </row>
    <row r="49" spans="1:32" x14ac:dyDescent="0.3">
      <c r="A49" s="16">
        <v>2052</v>
      </c>
      <c r="C49" s="17">
        <v>1608</v>
      </c>
      <c r="E49" s="17">
        <v>0</v>
      </c>
      <c r="G49" s="17">
        <v>1313</v>
      </c>
      <c r="I49" s="17">
        <v>0</v>
      </c>
      <c r="K49" s="18">
        <v>60.51</v>
      </c>
      <c r="M49" s="18">
        <v>1.79</v>
      </c>
      <c r="O49" s="17">
        <v>79441</v>
      </c>
      <c r="Q49" s="17">
        <v>6870</v>
      </c>
      <c r="S49" s="17">
        <v>71031</v>
      </c>
      <c r="U49" s="17">
        <v>0</v>
      </c>
      <c r="W49" s="17">
        <v>0</v>
      </c>
      <c r="Y49" s="17">
        <v>0</v>
      </c>
      <c r="AA49" s="17">
        <v>1539</v>
      </c>
      <c r="AC49" s="17">
        <v>90</v>
      </c>
      <c r="AE49" s="13">
        <f t="shared" si="0"/>
        <v>8.647927392656185E-2</v>
      </c>
      <c r="AF49" s="13">
        <f t="shared" si="1"/>
        <v>0</v>
      </c>
    </row>
    <row r="50" spans="1:32" x14ac:dyDescent="0.3">
      <c r="A50" s="16">
        <v>2053</v>
      </c>
      <c r="C50" s="17">
        <v>0</v>
      </c>
      <c r="E50" s="17">
        <v>0</v>
      </c>
      <c r="G50" s="17">
        <v>0</v>
      </c>
      <c r="I50" s="17">
        <v>0</v>
      </c>
      <c r="K50" s="18">
        <v>0</v>
      </c>
      <c r="M50" s="18">
        <v>0</v>
      </c>
      <c r="O50" s="17">
        <v>0</v>
      </c>
      <c r="Q50" s="17">
        <v>0</v>
      </c>
      <c r="S50" s="17">
        <v>0</v>
      </c>
      <c r="U50" s="17">
        <v>0</v>
      </c>
      <c r="W50" s="17">
        <v>249246</v>
      </c>
      <c r="Y50" s="17">
        <v>0</v>
      </c>
      <c r="AA50" s="17">
        <v>-249246</v>
      </c>
      <c r="AC50" s="17">
        <v>-13156</v>
      </c>
      <c r="AE50" s="13">
        <f t="shared" si="0"/>
        <v>0</v>
      </c>
      <c r="AF50" s="13">
        <f t="shared" si="1"/>
        <v>0</v>
      </c>
    </row>
    <row r="51" spans="1:32" ht="21.9" customHeight="1" x14ac:dyDescent="0.3">
      <c r="A51" s="16">
        <v>2054</v>
      </c>
      <c r="C51" s="17">
        <v>0</v>
      </c>
      <c r="E51" s="17">
        <v>0</v>
      </c>
      <c r="G51" s="17">
        <v>0</v>
      </c>
      <c r="I51" s="17">
        <v>0</v>
      </c>
      <c r="K51" s="18">
        <v>0</v>
      </c>
      <c r="M51" s="18">
        <v>0</v>
      </c>
      <c r="O51" s="17">
        <v>0</v>
      </c>
      <c r="Q51" s="17">
        <v>0</v>
      </c>
      <c r="S51" s="17">
        <v>0</v>
      </c>
      <c r="U51" s="17">
        <v>0</v>
      </c>
      <c r="W51" s="17">
        <v>0</v>
      </c>
      <c r="Y51" s="17">
        <v>0</v>
      </c>
      <c r="AA51" s="17">
        <v>0</v>
      </c>
      <c r="AC51" s="17">
        <v>0</v>
      </c>
      <c r="AE51" s="13">
        <f t="shared" si="0"/>
        <v>0</v>
      </c>
      <c r="AF51" s="13">
        <f t="shared" si="1"/>
        <v>0</v>
      </c>
    </row>
    <row r="52" spans="1:32" x14ac:dyDescent="0.3">
      <c r="A52" s="16">
        <v>2055</v>
      </c>
      <c r="C52" s="17">
        <v>0</v>
      </c>
      <c r="E52" s="17">
        <v>0</v>
      </c>
      <c r="G52" s="17">
        <v>0</v>
      </c>
      <c r="I52" s="17">
        <v>0</v>
      </c>
      <c r="K52" s="18">
        <v>0</v>
      </c>
      <c r="M52" s="18">
        <v>0</v>
      </c>
      <c r="O52" s="17">
        <v>0</v>
      </c>
      <c r="Q52" s="17">
        <v>0</v>
      </c>
      <c r="S52" s="17">
        <v>0</v>
      </c>
      <c r="U52" s="17">
        <v>0</v>
      </c>
      <c r="W52" s="17">
        <v>0</v>
      </c>
      <c r="Y52" s="17">
        <v>0</v>
      </c>
      <c r="AA52" s="17">
        <v>0</v>
      </c>
      <c r="AC52" s="17">
        <v>0</v>
      </c>
      <c r="AE52" s="13">
        <f t="shared" si="0"/>
        <v>0</v>
      </c>
      <c r="AF52" s="13">
        <f t="shared" si="1"/>
        <v>0</v>
      </c>
    </row>
    <row r="53" spans="1:32" x14ac:dyDescent="0.3">
      <c r="A53" s="16">
        <v>2056</v>
      </c>
      <c r="C53" s="17">
        <v>0</v>
      </c>
      <c r="E53" s="17">
        <v>0</v>
      </c>
      <c r="G53" s="17">
        <v>0</v>
      </c>
      <c r="I53" s="17">
        <v>0</v>
      </c>
      <c r="K53" s="18">
        <v>0</v>
      </c>
      <c r="M53" s="18">
        <v>0</v>
      </c>
      <c r="O53" s="17">
        <v>0</v>
      </c>
      <c r="Q53" s="17">
        <v>0</v>
      </c>
      <c r="S53" s="17">
        <v>0</v>
      </c>
      <c r="U53" s="17">
        <v>0</v>
      </c>
      <c r="W53" s="17">
        <v>0</v>
      </c>
      <c r="Y53" s="17">
        <v>0</v>
      </c>
      <c r="AA53" s="17">
        <v>0</v>
      </c>
      <c r="AC53" s="17">
        <v>0</v>
      </c>
      <c r="AE53" s="13">
        <f t="shared" si="0"/>
        <v>0</v>
      </c>
      <c r="AF53" s="13">
        <f t="shared" si="1"/>
        <v>0</v>
      </c>
    </row>
    <row r="54" spans="1:32" x14ac:dyDescent="0.3">
      <c r="A54" s="16">
        <v>2057</v>
      </c>
      <c r="C54" s="17">
        <v>0</v>
      </c>
      <c r="E54" s="17">
        <v>0</v>
      </c>
      <c r="G54" s="17">
        <v>0</v>
      </c>
      <c r="I54" s="17">
        <v>0</v>
      </c>
      <c r="K54" s="18">
        <v>0</v>
      </c>
      <c r="M54" s="18">
        <v>0</v>
      </c>
      <c r="O54" s="17">
        <v>0</v>
      </c>
      <c r="Q54" s="17">
        <v>0</v>
      </c>
      <c r="S54" s="17">
        <v>0</v>
      </c>
      <c r="U54" s="17">
        <v>0</v>
      </c>
      <c r="W54" s="17">
        <v>0</v>
      </c>
      <c r="Y54" s="17">
        <v>0</v>
      </c>
      <c r="AA54" s="17">
        <v>0</v>
      </c>
      <c r="AC54" s="17">
        <v>0</v>
      </c>
      <c r="AE54" s="13">
        <f t="shared" si="0"/>
        <v>0</v>
      </c>
      <c r="AF54" s="13">
        <f t="shared" si="1"/>
        <v>0</v>
      </c>
    </row>
    <row r="55" spans="1:32" x14ac:dyDescent="0.3">
      <c r="A55" s="16">
        <v>2058</v>
      </c>
      <c r="C55" s="17">
        <v>0</v>
      </c>
      <c r="E55" s="17">
        <v>0</v>
      </c>
      <c r="G55" s="17">
        <v>0</v>
      </c>
      <c r="I55" s="17">
        <v>0</v>
      </c>
      <c r="K55" s="18">
        <v>0</v>
      </c>
      <c r="M55" s="18">
        <v>0</v>
      </c>
      <c r="O55" s="17">
        <v>0</v>
      </c>
      <c r="Q55" s="17">
        <v>0</v>
      </c>
      <c r="S55" s="17">
        <v>0</v>
      </c>
      <c r="U55" s="17">
        <v>0</v>
      </c>
      <c r="W55" s="17">
        <v>0</v>
      </c>
      <c r="Y55" s="17">
        <v>0</v>
      </c>
      <c r="AA55" s="17">
        <v>0</v>
      </c>
      <c r="AC55" s="17">
        <v>0</v>
      </c>
      <c r="AE55" s="13">
        <f t="shared" si="0"/>
        <v>0</v>
      </c>
      <c r="AF55" s="13">
        <f t="shared" si="1"/>
        <v>0</v>
      </c>
    </row>
    <row r="56" spans="1:32" ht="21.9" customHeight="1" x14ac:dyDescent="0.3">
      <c r="A56" s="16">
        <v>2059</v>
      </c>
      <c r="C56" s="17">
        <v>0</v>
      </c>
      <c r="E56" s="17">
        <v>0</v>
      </c>
      <c r="G56" s="17">
        <v>0</v>
      </c>
      <c r="I56" s="17">
        <v>0</v>
      </c>
      <c r="K56" s="18">
        <v>0</v>
      </c>
      <c r="M56" s="18">
        <v>0</v>
      </c>
      <c r="O56" s="17">
        <v>0</v>
      </c>
      <c r="Q56" s="17">
        <v>0</v>
      </c>
      <c r="S56" s="17">
        <v>0</v>
      </c>
      <c r="U56" s="17">
        <v>0</v>
      </c>
      <c r="W56" s="17">
        <v>0</v>
      </c>
      <c r="Y56" s="17">
        <v>0</v>
      </c>
      <c r="AA56" s="17">
        <v>0</v>
      </c>
      <c r="AC56" s="17">
        <v>0</v>
      </c>
      <c r="AE56" s="13">
        <f t="shared" si="0"/>
        <v>0</v>
      </c>
      <c r="AF56" s="13">
        <f t="shared" si="1"/>
        <v>0</v>
      </c>
    </row>
    <row r="57" spans="1:32" x14ac:dyDescent="0.3">
      <c r="A57" s="16">
        <v>2060</v>
      </c>
      <c r="C57" s="19">
        <v>0</v>
      </c>
      <c r="E57" s="19">
        <v>0</v>
      </c>
      <c r="G57" s="19">
        <v>0</v>
      </c>
      <c r="I57" s="19">
        <v>0</v>
      </c>
      <c r="K57" s="18">
        <v>0</v>
      </c>
      <c r="M57" s="18">
        <v>0</v>
      </c>
      <c r="O57" s="19">
        <v>0</v>
      </c>
      <c r="Q57" s="19">
        <v>0</v>
      </c>
      <c r="S57" s="19">
        <v>0</v>
      </c>
      <c r="U57" s="19">
        <v>0</v>
      </c>
      <c r="W57" s="19">
        <v>0</v>
      </c>
      <c r="Y57" s="19">
        <v>0</v>
      </c>
      <c r="AA57" s="19">
        <v>0</v>
      </c>
      <c r="AC57" s="19">
        <v>0</v>
      </c>
      <c r="AE57" s="13">
        <f t="shared" si="0"/>
        <v>0</v>
      </c>
      <c r="AF57" s="13">
        <f t="shared" si="1"/>
        <v>0</v>
      </c>
    </row>
    <row r="58" spans="1:32" x14ac:dyDescent="0.3">
      <c r="AE58" s="13"/>
      <c r="AF58" s="13"/>
    </row>
    <row r="59" spans="1:32" x14ac:dyDescent="0.3">
      <c r="A59" s="231" t="s">
        <v>2</v>
      </c>
      <c r="C59" s="232">
        <v>328922</v>
      </c>
      <c r="E59" s="232">
        <v>226313</v>
      </c>
      <c r="G59" s="232">
        <v>269587</v>
      </c>
      <c r="I59" s="232">
        <v>161392</v>
      </c>
      <c r="O59" s="232">
        <v>16596831</v>
      </c>
      <c r="Q59" s="232">
        <v>1413926</v>
      </c>
      <c r="S59" s="232">
        <v>2107198</v>
      </c>
      <c r="U59" s="232">
        <v>513977</v>
      </c>
      <c r="W59" s="232">
        <v>249246</v>
      </c>
      <c r="Y59" s="232">
        <v>218339</v>
      </c>
      <c r="AA59" s="232">
        <v>12094144</v>
      </c>
      <c r="AC59" s="232">
        <v>7044415</v>
      </c>
      <c r="AE59" s="13"/>
      <c r="AF59" s="13"/>
    </row>
    <row r="60" spans="1:32" x14ac:dyDescent="0.3">
      <c r="AE60" s="13"/>
      <c r="AF60" s="13"/>
    </row>
    <row r="61" spans="1:32" ht="21.9" customHeight="1" x14ac:dyDescent="0.3">
      <c r="A61" t="s">
        <v>47</v>
      </c>
      <c r="AA61" s="228" t="s">
        <v>729</v>
      </c>
      <c r="AB61" s="15"/>
      <c r="AC61" s="15"/>
      <c r="AE61" s="13"/>
      <c r="AF61" s="13"/>
    </row>
    <row r="62" spans="1:32" x14ac:dyDescent="0.3">
      <c r="A62" t="s">
        <v>82</v>
      </c>
      <c r="AA62" s="20" t="s">
        <v>48</v>
      </c>
      <c r="AC62" s="17">
        <v>9017418</v>
      </c>
      <c r="AE62" s="13"/>
      <c r="AF62" s="13"/>
    </row>
    <row r="63" spans="1:32" x14ac:dyDescent="0.3">
      <c r="A63" t="s">
        <v>83</v>
      </c>
      <c r="AA63" s="20" t="s">
        <v>49</v>
      </c>
      <c r="AC63" s="17">
        <v>5708907</v>
      </c>
      <c r="AE63" s="13"/>
      <c r="AF63" s="13"/>
    </row>
    <row r="64" spans="1:32" x14ac:dyDescent="0.3">
      <c r="A64" t="s">
        <v>84</v>
      </c>
      <c r="AA64" s="20" t="s">
        <v>50</v>
      </c>
      <c r="AC64" s="17">
        <v>4758423</v>
      </c>
      <c r="AE64" s="13"/>
      <c r="AF64" s="13"/>
    </row>
    <row r="65" spans="1:1" ht="8.1" customHeight="1" x14ac:dyDescent="0.3">
      <c r="A65" t="s">
        <v>85</v>
      </c>
    </row>
    <row r="66" spans="1:1" x14ac:dyDescent="0.3">
      <c r="A66" t="s">
        <v>736</v>
      </c>
    </row>
    <row r="67" spans="1:1" x14ac:dyDescent="0.3">
      <c r="A67" s="233" t="s">
        <v>737</v>
      </c>
    </row>
  </sheetData>
  <printOptions horizontalCentered="1"/>
  <pageMargins left="0.5" right="0.3" top="0.75" bottom="0.75" header="0.5" footer="0.5"/>
  <pageSetup paperSize="162" scale="42"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E387A-F84A-4E25-B255-E65D5C2BB875}">
  <sheetPr>
    <tabColor rgb="FF7030A0"/>
    <pageSetUpPr fitToPage="1"/>
  </sheetPr>
  <dimension ref="A1:AF67"/>
  <sheetViews>
    <sheetView showGridLines="0" zoomScale="85" zoomScaleNormal="85" zoomScaleSheetLayoutView="100" workbookViewId="0">
      <selection activeCell="AC53" sqref="AC53"/>
    </sheetView>
  </sheetViews>
  <sheetFormatPr defaultRowHeight="14.4" x14ac:dyDescent="0.3"/>
  <cols>
    <col min="1" max="1" width="5.77734375" bestFit="1" customWidth="1"/>
    <col min="2" max="2" width="1.77734375" customWidth="1"/>
    <col min="3" max="3" width="9.6640625" customWidth="1"/>
    <col min="4" max="4" width="1.77734375" customWidth="1"/>
    <col min="5" max="5" width="9.6640625" customWidth="1"/>
    <col min="6" max="6" width="1.77734375" customWidth="1"/>
    <col min="7" max="7" width="9.6640625" customWidth="1"/>
    <col min="8" max="8" width="1.77734375" customWidth="1"/>
    <col min="9" max="9" width="9.6640625" customWidth="1"/>
    <col min="10" max="10" width="1.77734375" customWidth="1"/>
    <col min="11" max="11" width="13.44140625" customWidth="1"/>
    <col min="12" max="12" width="1.77734375" customWidth="1"/>
    <col min="13" max="13" width="13.44140625" customWidth="1"/>
    <col min="14" max="14" width="1.77734375" customWidth="1"/>
    <col min="15" max="15" width="14.6640625" customWidth="1"/>
    <col min="16" max="16" width="1.77734375" customWidth="1"/>
    <col min="17" max="17" width="14.6640625" customWidth="1"/>
    <col min="18" max="18" width="1.77734375" customWidth="1"/>
    <col min="19" max="19" width="14.6640625" customWidth="1"/>
    <col min="20" max="20" width="1.77734375" customWidth="1"/>
    <col min="21" max="21" width="14.6640625" customWidth="1"/>
    <col min="22" max="22" width="1.77734375" customWidth="1"/>
    <col min="23" max="23" width="14.77734375" bestFit="1" customWidth="1"/>
    <col min="24" max="24" width="1.77734375" customWidth="1"/>
    <col min="25" max="25" width="14.6640625" customWidth="1"/>
    <col min="26" max="26" width="1.77734375" customWidth="1"/>
    <col min="27" max="27" width="14.6640625" customWidth="1"/>
    <col min="28" max="28" width="1.77734375" customWidth="1"/>
    <col min="29" max="29" width="14.6640625" customWidth="1"/>
  </cols>
  <sheetData>
    <row r="1" spans="1:32" x14ac:dyDescent="0.3">
      <c r="A1" s="226" t="s">
        <v>57</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32" x14ac:dyDescent="0.3">
      <c r="A2" s="226" t="s">
        <v>65</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32" x14ac:dyDescent="0.3">
      <c r="A3" s="226" t="s">
        <v>24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32" x14ac:dyDescent="0.3">
      <c r="A4" s="226" t="s">
        <v>718</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row>
    <row r="5" spans="1:32" x14ac:dyDescent="0.3">
      <c r="A5" s="226" t="s">
        <v>62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32" x14ac:dyDescent="0.3">
      <c r="A6" s="226" t="s">
        <v>87</v>
      </c>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32" x14ac:dyDescent="0.3">
      <c r="A7" s="226" t="s">
        <v>25</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row>
    <row r="8" spans="1:32" x14ac:dyDescent="0.3">
      <c r="A8" s="226" t="s">
        <v>26</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row>
    <row r="9" spans="1:32" x14ac:dyDescent="0.3">
      <c r="A9" s="226" t="s">
        <v>27</v>
      </c>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row>
    <row r="10" spans="1:32" x14ac:dyDescent="0.3">
      <c r="A10" s="226" t="s">
        <v>719</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32" x14ac:dyDescent="0.3">
      <c r="A11" s="226" t="s">
        <v>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row>
    <row r="12" spans="1:32" x14ac:dyDescent="0.3">
      <c r="A12" s="226" t="s">
        <v>5</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row>
    <row r="13" spans="1:32" x14ac:dyDescent="0.3">
      <c r="A13" s="226" t="s">
        <v>5</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row>
    <row r="14" spans="1:32" x14ac:dyDescent="0.3">
      <c r="K14" s="227"/>
      <c r="L14" s="14"/>
      <c r="M14" s="14"/>
    </row>
    <row r="15" spans="1:32" x14ac:dyDescent="0.3">
      <c r="C15" s="227" t="s">
        <v>31</v>
      </c>
      <c r="D15" s="14"/>
      <c r="E15" s="14"/>
      <c r="G15" s="227" t="s">
        <v>37</v>
      </c>
      <c r="H15" s="14"/>
      <c r="I15" s="14"/>
      <c r="K15" s="227" t="s">
        <v>76</v>
      </c>
      <c r="L15" s="14"/>
      <c r="M15" s="14"/>
    </row>
    <row r="16" spans="1:32" x14ac:dyDescent="0.3">
      <c r="C16" s="228" t="s">
        <v>52</v>
      </c>
      <c r="D16" s="15"/>
      <c r="E16" s="15"/>
      <c r="G16" s="228" t="s">
        <v>52</v>
      </c>
      <c r="H16" s="15"/>
      <c r="I16" s="15"/>
      <c r="K16" s="228" t="s">
        <v>77</v>
      </c>
      <c r="L16" s="15"/>
      <c r="M16" s="15"/>
      <c r="O16" s="229" t="s">
        <v>28</v>
      </c>
      <c r="Q16" s="229" t="s">
        <v>14</v>
      </c>
      <c r="AA16" s="229" t="s">
        <v>28</v>
      </c>
      <c r="AC16" s="229" t="s">
        <v>29</v>
      </c>
      <c r="AE16" s="9" t="s">
        <v>14</v>
      </c>
      <c r="AF16" s="9"/>
    </row>
    <row r="17" spans="1:32" x14ac:dyDescent="0.3">
      <c r="E17" s="229" t="s">
        <v>30</v>
      </c>
      <c r="I17" s="229" t="s">
        <v>30</v>
      </c>
      <c r="M17" s="229" t="s">
        <v>30</v>
      </c>
      <c r="O17" s="229" t="s">
        <v>31</v>
      </c>
      <c r="Q17" s="229" t="s">
        <v>33</v>
      </c>
      <c r="S17" s="229" t="s">
        <v>34</v>
      </c>
      <c r="U17" s="229" t="s">
        <v>35</v>
      </c>
      <c r="W17" s="229" t="s">
        <v>36</v>
      </c>
      <c r="AA17" s="229" t="s">
        <v>37</v>
      </c>
      <c r="AC17" s="229" t="s">
        <v>38</v>
      </c>
      <c r="AE17" s="9" t="s">
        <v>33</v>
      </c>
      <c r="AF17" s="9"/>
    </row>
    <row r="18" spans="1:32" x14ac:dyDescent="0.3">
      <c r="C18" s="229" t="s">
        <v>39</v>
      </c>
      <c r="E18" s="229" t="s">
        <v>40</v>
      </c>
      <c r="G18" s="229" t="s">
        <v>39</v>
      </c>
      <c r="I18" s="229" t="s">
        <v>40</v>
      </c>
      <c r="K18" s="229" t="s">
        <v>39</v>
      </c>
      <c r="M18" s="229" t="s">
        <v>40</v>
      </c>
      <c r="O18" s="229" t="s">
        <v>41</v>
      </c>
      <c r="Q18" s="229" t="s">
        <v>32</v>
      </c>
      <c r="S18" s="229" t="s">
        <v>42</v>
      </c>
      <c r="U18" s="229" t="s">
        <v>43</v>
      </c>
      <c r="W18" s="229" t="s">
        <v>78</v>
      </c>
      <c r="Y18" s="229" t="s">
        <v>44</v>
      </c>
      <c r="AA18" s="229" t="s">
        <v>41</v>
      </c>
      <c r="AC18" s="229" t="s">
        <v>45</v>
      </c>
      <c r="AE18" s="9" t="s">
        <v>32</v>
      </c>
      <c r="AF18" s="9" t="s">
        <v>44</v>
      </c>
    </row>
    <row r="19" spans="1:32" ht="16.8" x14ac:dyDescent="0.3">
      <c r="A19" s="230" t="s">
        <v>1</v>
      </c>
      <c r="C19" s="230" t="s">
        <v>723</v>
      </c>
      <c r="E19" s="230" t="s">
        <v>724</v>
      </c>
      <c r="G19" s="230" t="s">
        <v>723</v>
      </c>
      <c r="I19" s="230" t="s">
        <v>724</v>
      </c>
      <c r="K19" s="230" t="s">
        <v>46</v>
      </c>
      <c r="M19" s="230" t="s">
        <v>725</v>
      </c>
      <c r="O19" s="230" t="s">
        <v>728</v>
      </c>
      <c r="Q19" s="230" t="s">
        <v>728</v>
      </c>
      <c r="S19" s="230" t="s">
        <v>728</v>
      </c>
      <c r="U19" s="230" t="s">
        <v>728</v>
      </c>
      <c r="W19" s="230" t="s">
        <v>728</v>
      </c>
      <c r="Y19" s="230" t="s">
        <v>728</v>
      </c>
      <c r="AA19" s="230" t="s">
        <v>728</v>
      </c>
      <c r="AC19" s="230" t="s">
        <v>728</v>
      </c>
      <c r="AE19" s="10" t="s">
        <v>71</v>
      </c>
      <c r="AF19" s="10" t="s">
        <v>71</v>
      </c>
    </row>
    <row r="20" spans="1:32" x14ac:dyDescent="0.3">
      <c r="AE20" s="8"/>
      <c r="AF20" s="8"/>
    </row>
    <row r="21" spans="1:32" x14ac:dyDescent="0.3">
      <c r="A21" s="16">
        <v>2024</v>
      </c>
      <c r="C21" s="17">
        <v>27707</v>
      </c>
      <c r="E21" s="17">
        <v>12753</v>
      </c>
      <c r="G21" s="17">
        <v>25003</v>
      </c>
      <c r="I21" s="17">
        <v>10594</v>
      </c>
      <c r="K21" s="18">
        <v>60.24</v>
      </c>
      <c r="M21" s="18">
        <v>1.78</v>
      </c>
      <c r="O21" s="17">
        <v>1525178</v>
      </c>
      <c r="Q21" s="17">
        <v>129640</v>
      </c>
      <c r="S21" s="17">
        <v>78525</v>
      </c>
      <c r="U21" s="17">
        <v>277375</v>
      </c>
      <c r="W21" s="17">
        <v>0</v>
      </c>
      <c r="Y21" s="17">
        <v>62402</v>
      </c>
      <c r="AA21" s="17">
        <v>977236</v>
      </c>
      <c r="AC21" s="17">
        <v>926298</v>
      </c>
      <c r="AE21" s="13">
        <f t="shared" ref="AE21:AE57" si="0">IFERROR(Q21/O21,0)</f>
        <v>8.499991476404721E-2</v>
      </c>
      <c r="AF21" s="13">
        <f t="shared" ref="AF21:AF57" si="1">IFERROR(Y21/O21,0)</f>
        <v>4.0914568660182615E-2</v>
      </c>
    </row>
    <row r="22" spans="1:32" x14ac:dyDescent="0.3">
      <c r="A22" s="16">
        <v>2025</v>
      </c>
      <c r="C22" s="17">
        <v>39671</v>
      </c>
      <c r="E22" s="17">
        <v>23498</v>
      </c>
      <c r="G22" s="17">
        <v>31797</v>
      </c>
      <c r="I22" s="17">
        <v>17187</v>
      </c>
      <c r="K22" s="18">
        <v>60.56</v>
      </c>
      <c r="M22" s="18">
        <v>1.79</v>
      </c>
      <c r="O22" s="17">
        <v>1956220</v>
      </c>
      <c r="Q22" s="17">
        <v>166279</v>
      </c>
      <c r="S22" s="17">
        <v>69722</v>
      </c>
      <c r="U22" s="17">
        <v>75022</v>
      </c>
      <c r="W22" s="17">
        <v>0</v>
      </c>
      <c r="Y22" s="17">
        <v>42350</v>
      </c>
      <c r="AA22" s="17">
        <v>1602847</v>
      </c>
      <c r="AC22" s="17">
        <v>1375289</v>
      </c>
      <c r="AE22" s="13">
        <f t="shared" si="0"/>
        <v>8.5000153356984381E-2</v>
      </c>
      <c r="AF22" s="13">
        <f t="shared" si="1"/>
        <v>2.164889429614256E-2</v>
      </c>
    </row>
    <row r="23" spans="1:32" x14ac:dyDescent="0.3">
      <c r="A23" s="16">
        <v>2026</v>
      </c>
      <c r="C23" s="17">
        <v>37610</v>
      </c>
      <c r="E23" s="17">
        <v>24771</v>
      </c>
      <c r="G23" s="17">
        <v>29692</v>
      </c>
      <c r="I23" s="17">
        <v>17741</v>
      </c>
      <c r="K23" s="18">
        <v>60.6</v>
      </c>
      <c r="M23" s="18">
        <v>1.78</v>
      </c>
      <c r="O23" s="17">
        <v>1831005</v>
      </c>
      <c r="Q23" s="17">
        <v>155635</v>
      </c>
      <c r="S23" s="17">
        <v>68687</v>
      </c>
      <c r="U23" s="17">
        <v>6608</v>
      </c>
      <c r="W23" s="17">
        <v>0</v>
      </c>
      <c r="Y23" s="17">
        <v>43646</v>
      </c>
      <c r="AA23" s="17">
        <v>1556428</v>
      </c>
      <c r="AC23" s="17">
        <v>1208876</v>
      </c>
      <c r="AE23" s="13">
        <f t="shared" si="0"/>
        <v>8.4999767887034713E-2</v>
      </c>
      <c r="AF23" s="13">
        <f t="shared" si="1"/>
        <v>2.3837182312445897E-2</v>
      </c>
    </row>
    <row r="24" spans="1:32" x14ac:dyDescent="0.3">
      <c r="A24" s="16">
        <v>2027</v>
      </c>
      <c r="C24" s="17">
        <v>33683</v>
      </c>
      <c r="E24" s="17">
        <v>32743</v>
      </c>
      <c r="G24" s="17">
        <v>26586</v>
      </c>
      <c r="I24" s="17">
        <v>22669</v>
      </c>
      <c r="K24" s="18">
        <v>60.6</v>
      </c>
      <c r="M24" s="18">
        <v>1.79</v>
      </c>
      <c r="O24" s="17">
        <v>1651619</v>
      </c>
      <c r="Q24" s="17">
        <v>140388</v>
      </c>
      <c r="S24" s="17">
        <v>68663</v>
      </c>
      <c r="U24" s="17">
        <v>9607</v>
      </c>
      <c r="W24" s="17">
        <v>0</v>
      </c>
      <c r="Y24" s="17">
        <v>50396</v>
      </c>
      <c r="AA24" s="17">
        <v>1382565</v>
      </c>
      <c r="AC24" s="17">
        <v>972049</v>
      </c>
      <c r="AE24" s="13">
        <f t="shared" si="0"/>
        <v>8.5000233104608261E-2</v>
      </c>
      <c r="AF24" s="13">
        <f t="shared" si="1"/>
        <v>3.0513090488787063E-2</v>
      </c>
    </row>
    <row r="25" spans="1:32" x14ac:dyDescent="0.3">
      <c r="A25" s="16">
        <v>2028</v>
      </c>
      <c r="C25" s="17">
        <v>27974</v>
      </c>
      <c r="E25" s="17">
        <v>31587</v>
      </c>
      <c r="G25" s="17">
        <v>22417</v>
      </c>
      <c r="I25" s="17">
        <v>21759</v>
      </c>
      <c r="K25" s="18">
        <v>60.56</v>
      </c>
      <c r="M25" s="18">
        <v>1.78</v>
      </c>
      <c r="O25" s="17">
        <v>1396371</v>
      </c>
      <c r="Q25" s="17">
        <v>118691</v>
      </c>
      <c r="S25" s="17">
        <v>69720</v>
      </c>
      <c r="U25" s="17">
        <v>6608</v>
      </c>
      <c r="W25" s="17">
        <v>0</v>
      </c>
      <c r="Y25" s="17">
        <v>38189</v>
      </c>
      <c r="AA25" s="17">
        <v>1163164</v>
      </c>
      <c r="AC25" s="17">
        <v>740277</v>
      </c>
      <c r="AE25" s="13">
        <f t="shared" si="0"/>
        <v>8.4999616863999608E-2</v>
      </c>
      <c r="AF25" s="13">
        <f t="shared" si="1"/>
        <v>2.7348749007248072E-2</v>
      </c>
    </row>
    <row r="26" spans="1:32" ht="21.9" customHeight="1" x14ac:dyDescent="0.3">
      <c r="A26" s="16">
        <v>2029</v>
      </c>
      <c r="C26" s="17">
        <v>24098</v>
      </c>
      <c r="E26" s="17">
        <v>23036</v>
      </c>
      <c r="G26" s="17">
        <v>19446</v>
      </c>
      <c r="I26" s="17">
        <v>16101</v>
      </c>
      <c r="K26" s="18">
        <v>60.54</v>
      </c>
      <c r="M26" s="18">
        <v>1.79</v>
      </c>
      <c r="O26" s="17">
        <v>1205940</v>
      </c>
      <c r="Q26" s="17">
        <v>102505</v>
      </c>
      <c r="S26" s="17">
        <v>70197</v>
      </c>
      <c r="U26" s="17">
        <v>6607</v>
      </c>
      <c r="W26" s="17">
        <v>0</v>
      </c>
      <c r="Y26" s="17">
        <v>24791</v>
      </c>
      <c r="AA26" s="17">
        <v>1001840</v>
      </c>
      <c r="AC26" s="17">
        <v>577168</v>
      </c>
      <c r="AE26" s="13">
        <f t="shared" si="0"/>
        <v>8.500008292286515E-2</v>
      </c>
      <c r="AF26" s="13">
        <f t="shared" si="1"/>
        <v>2.0557407499543923E-2</v>
      </c>
    </row>
    <row r="27" spans="1:32" x14ac:dyDescent="0.3">
      <c r="A27" s="16">
        <v>2030</v>
      </c>
      <c r="C27" s="17">
        <v>22157</v>
      </c>
      <c r="E27" s="17">
        <v>17836</v>
      </c>
      <c r="G27" s="17">
        <v>17794</v>
      </c>
      <c r="I27" s="17">
        <v>12626</v>
      </c>
      <c r="K27" s="18">
        <v>60.55</v>
      </c>
      <c r="M27" s="18">
        <v>1.78</v>
      </c>
      <c r="O27" s="17">
        <v>1100025</v>
      </c>
      <c r="Q27" s="17">
        <v>93502</v>
      </c>
      <c r="S27" s="17">
        <v>69875</v>
      </c>
      <c r="U27" s="17">
        <v>6608</v>
      </c>
      <c r="W27" s="17">
        <v>0</v>
      </c>
      <c r="Y27" s="17">
        <v>17041</v>
      </c>
      <c r="AA27" s="17">
        <v>912998</v>
      </c>
      <c r="AC27" s="17">
        <v>476129</v>
      </c>
      <c r="AE27" s="13">
        <f t="shared" si="0"/>
        <v>8.4999886366218955E-2</v>
      </c>
      <c r="AF27" s="13">
        <f t="shared" si="1"/>
        <v>1.5491466103043113E-2</v>
      </c>
    </row>
    <row r="28" spans="1:32" x14ac:dyDescent="0.3">
      <c r="A28" s="16">
        <v>2031</v>
      </c>
      <c r="C28" s="17">
        <v>18572</v>
      </c>
      <c r="E28" s="17">
        <v>13152</v>
      </c>
      <c r="G28" s="17">
        <v>15143</v>
      </c>
      <c r="I28" s="17">
        <v>9500</v>
      </c>
      <c r="K28" s="18">
        <v>60.51</v>
      </c>
      <c r="M28" s="18">
        <v>1.79</v>
      </c>
      <c r="O28" s="17">
        <v>933232</v>
      </c>
      <c r="Q28" s="17">
        <v>79325</v>
      </c>
      <c r="S28" s="17">
        <v>70952</v>
      </c>
      <c r="U28" s="17">
        <v>6607</v>
      </c>
      <c r="W28" s="17">
        <v>0</v>
      </c>
      <c r="Y28" s="17">
        <v>6904</v>
      </c>
      <c r="AA28" s="17">
        <v>769444</v>
      </c>
      <c r="AC28" s="17">
        <v>363230</v>
      </c>
      <c r="AE28" s="13">
        <f t="shared" si="0"/>
        <v>8.5000300032574971E-2</v>
      </c>
      <c r="AF28" s="13">
        <f t="shared" si="1"/>
        <v>7.3979460627153805E-3</v>
      </c>
    </row>
    <row r="29" spans="1:32" x14ac:dyDescent="0.3">
      <c r="A29" s="16">
        <v>2032</v>
      </c>
      <c r="C29" s="17">
        <v>16723</v>
      </c>
      <c r="E29" s="17">
        <v>10199</v>
      </c>
      <c r="G29" s="17">
        <v>13667</v>
      </c>
      <c r="I29" s="17">
        <v>7505</v>
      </c>
      <c r="K29" s="18">
        <v>60.5</v>
      </c>
      <c r="M29" s="18">
        <v>1.78</v>
      </c>
      <c r="O29" s="17">
        <v>840318</v>
      </c>
      <c r="Q29" s="17">
        <v>71427</v>
      </c>
      <c r="S29" s="17">
        <v>71089</v>
      </c>
      <c r="U29" s="17">
        <v>6608</v>
      </c>
      <c r="W29" s="17">
        <v>0</v>
      </c>
      <c r="Y29" s="17">
        <v>3749</v>
      </c>
      <c r="AA29" s="17">
        <v>687446</v>
      </c>
      <c r="AC29" s="17">
        <v>293761</v>
      </c>
      <c r="AE29" s="13">
        <f t="shared" si="0"/>
        <v>8.4999964299229583E-2</v>
      </c>
      <c r="AF29" s="13">
        <f t="shared" si="1"/>
        <v>4.4614062771474606E-3</v>
      </c>
    </row>
    <row r="30" spans="1:32" x14ac:dyDescent="0.3">
      <c r="A30" s="16">
        <v>2033</v>
      </c>
      <c r="C30" s="17">
        <v>15680</v>
      </c>
      <c r="E30" s="17">
        <v>8850</v>
      </c>
      <c r="G30" s="17">
        <v>12726</v>
      </c>
      <c r="I30" s="17">
        <v>6551</v>
      </c>
      <c r="K30" s="18">
        <v>60.53</v>
      </c>
      <c r="M30" s="18">
        <v>1.79</v>
      </c>
      <c r="O30" s="17">
        <v>781918</v>
      </c>
      <c r="Q30" s="17">
        <v>66463</v>
      </c>
      <c r="S30" s="17">
        <v>70605</v>
      </c>
      <c r="U30" s="17">
        <v>6607</v>
      </c>
      <c r="W30" s="17">
        <v>0</v>
      </c>
      <c r="Y30" s="17">
        <v>907</v>
      </c>
      <c r="AA30" s="17">
        <v>637335</v>
      </c>
      <c r="AC30" s="17">
        <v>246532</v>
      </c>
      <c r="AE30" s="13">
        <f t="shared" si="0"/>
        <v>8.4999961632805487E-2</v>
      </c>
      <c r="AF30" s="13">
        <f t="shared" si="1"/>
        <v>1.1599681808066831E-3</v>
      </c>
    </row>
    <row r="31" spans="1:32" ht="21.9" customHeight="1" x14ac:dyDescent="0.3">
      <c r="A31" s="16">
        <v>2034</v>
      </c>
      <c r="C31" s="17">
        <v>14762</v>
      </c>
      <c r="E31" s="17">
        <v>8247</v>
      </c>
      <c r="G31" s="17">
        <v>11906</v>
      </c>
      <c r="I31" s="17">
        <v>6088</v>
      </c>
      <c r="K31" s="18">
        <v>60.54</v>
      </c>
      <c r="M31" s="18">
        <v>1.78</v>
      </c>
      <c r="O31" s="17">
        <v>731655</v>
      </c>
      <c r="Q31" s="17">
        <v>62191</v>
      </c>
      <c r="S31" s="17">
        <v>70172</v>
      </c>
      <c r="U31" s="17">
        <v>6608</v>
      </c>
      <c r="W31" s="17">
        <v>0</v>
      </c>
      <c r="Y31" s="17">
        <v>0</v>
      </c>
      <c r="AA31" s="17">
        <v>592686</v>
      </c>
      <c r="AC31" s="17">
        <v>207530</v>
      </c>
      <c r="AE31" s="13">
        <f t="shared" si="0"/>
        <v>8.5000444198426853E-2</v>
      </c>
      <c r="AF31" s="13">
        <f t="shared" si="1"/>
        <v>0</v>
      </c>
    </row>
    <row r="32" spans="1:32" x14ac:dyDescent="0.3">
      <c r="A32" s="16">
        <v>2035</v>
      </c>
      <c r="C32" s="17">
        <v>13974</v>
      </c>
      <c r="E32" s="17">
        <v>7639</v>
      </c>
      <c r="G32" s="17">
        <v>11197</v>
      </c>
      <c r="I32" s="17">
        <v>5632</v>
      </c>
      <c r="K32" s="18">
        <v>60.55</v>
      </c>
      <c r="M32" s="18">
        <v>1.79</v>
      </c>
      <c r="O32" s="17">
        <v>688110</v>
      </c>
      <c r="Q32" s="17">
        <v>58489</v>
      </c>
      <c r="S32" s="17">
        <v>69721</v>
      </c>
      <c r="U32" s="17">
        <v>6607</v>
      </c>
      <c r="W32" s="17">
        <v>0</v>
      </c>
      <c r="Y32" s="17">
        <v>0</v>
      </c>
      <c r="AA32" s="17">
        <v>553291</v>
      </c>
      <c r="AC32" s="17">
        <v>175373</v>
      </c>
      <c r="AE32" s="13">
        <f t="shared" si="0"/>
        <v>8.4999491360392962E-2</v>
      </c>
      <c r="AF32" s="13">
        <f t="shared" si="1"/>
        <v>0</v>
      </c>
    </row>
    <row r="33" spans="1:32" x14ac:dyDescent="0.3">
      <c r="A33" s="16">
        <v>2036</v>
      </c>
      <c r="C33" s="17">
        <v>13288</v>
      </c>
      <c r="E33" s="17">
        <v>7097</v>
      </c>
      <c r="G33" s="17">
        <v>10585</v>
      </c>
      <c r="I33" s="17">
        <v>5227</v>
      </c>
      <c r="K33" s="18">
        <v>60.58</v>
      </c>
      <c r="M33" s="18">
        <v>1.78</v>
      </c>
      <c r="O33" s="17">
        <v>650478</v>
      </c>
      <c r="Q33" s="17">
        <v>55291</v>
      </c>
      <c r="S33" s="17">
        <v>69295</v>
      </c>
      <c r="U33" s="17">
        <v>6608</v>
      </c>
      <c r="W33" s="17">
        <v>0</v>
      </c>
      <c r="Y33" s="17">
        <v>0</v>
      </c>
      <c r="AA33" s="17">
        <v>519286</v>
      </c>
      <c r="AC33" s="17">
        <v>148992</v>
      </c>
      <c r="AE33" s="13">
        <f t="shared" si="0"/>
        <v>8.5000568812473296E-2</v>
      </c>
      <c r="AF33" s="13">
        <f t="shared" si="1"/>
        <v>0</v>
      </c>
    </row>
    <row r="34" spans="1:32" x14ac:dyDescent="0.3">
      <c r="A34" s="16">
        <v>2037</v>
      </c>
      <c r="C34" s="17">
        <v>12490</v>
      </c>
      <c r="E34" s="17">
        <v>6557</v>
      </c>
      <c r="G34" s="17">
        <v>9906</v>
      </c>
      <c r="I34" s="17">
        <v>4826</v>
      </c>
      <c r="K34" s="18">
        <v>60.59</v>
      </c>
      <c r="M34" s="18">
        <v>1.79</v>
      </c>
      <c r="O34" s="17">
        <v>608809</v>
      </c>
      <c r="Q34" s="17">
        <v>51749</v>
      </c>
      <c r="S34" s="17">
        <v>69002</v>
      </c>
      <c r="U34" s="17">
        <v>6607</v>
      </c>
      <c r="W34" s="17">
        <v>0</v>
      </c>
      <c r="Y34" s="17">
        <v>0</v>
      </c>
      <c r="AA34" s="17">
        <v>481451</v>
      </c>
      <c r="AC34" s="17">
        <v>125043</v>
      </c>
      <c r="AE34" s="13">
        <f t="shared" si="0"/>
        <v>8.5000385999549941E-2</v>
      </c>
      <c r="AF34" s="13">
        <f t="shared" si="1"/>
        <v>0</v>
      </c>
    </row>
    <row r="35" spans="1:32" x14ac:dyDescent="0.3">
      <c r="A35" s="16">
        <v>2038</v>
      </c>
      <c r="C35" s="17">
        <v>11365</v>
      </c>
      <c r="E35" s="17">
        <v>5842</v>
      </c>
      <c r="G35" s="17">
        <v>9041</v>
      </c>
      <c r="I35" s="17">
        <v>4321</v>
      </c>
      <c r="K35" s="18">
        <v>60.58</v>
      </c>
      <c r="M35" s="18">
        <v>1.78</v>
      </c>
      <c r="O35" s="17">
        <v>555391</v>
      </c>
      <c r="Q35" s="17">
        <v>47208</v>
      </c>
      <c r="S35" s="17">
        <v>69208</v>
      </c>
      <c r="U35" s="17">
        <v>6608</v>
      </c>
      <c r="W35" s="17">
        <v>0</v>
      </c>
      <c r="Y35" s="17">
        <v>0</v>
      </c>
      <c r="AA35" s="17">
        <v>432366</v>
      </c>
      <c r="AC35" s="17">
        <v>101651</v>
      </c>
      <c r="AE35" s="13">
        <f t="shared" si="0"/>
        <v>8.4999576874670274E-2</v>
      </c>
      <c r="AF35" s="13">
        <f t="shared" si="1"/>
        <v>0</v>
      </c>
    </row>
    <row r="36" spans="1:32" ht="21.9" customHeight="1" x14ac:dyDescent="0.3">
      <c r="A36" s="16">
        <v>2039</v>
      </c>
      <c r="C36" s="17">
        <v>10236</v>
      </c>
      <c r="E36" s="17">
        <v>5200</v>
      </c>
      <c r="G36" s="17">
        <v>8186</v>
      </c>
      <c r="I36" s="17">
        <v>3866</v>
      </c>
      <c r="K36" s="18">
        <v>60.56</v>
      </c>
      <c r="M36" s="18">
        <v>1.79</v>
      </c>
      <c r="O36" s="17">
        <v>502682</v>
      </c>
      <c r="Q36" s="17">
        <v>42728</v>
      </c>
      <c r="S36" s="17">
        <v>69592</v>
      </c>
      <c r="U36" s="17">
        <v>6607</v>
      </c>
      <c r="W36" s="17">
        <v>0</v>
      </c>
      <c r="Y36" s="17">
        <v>0</v>
      </c>
      <c r="AA36" s="17">
        <v>383755</v>
      </c>
      <c r="AC36" s="17">
        <v>81670</v>
      </c>
      <c r="AE36" s="13">
        <f t="shared" si="0"/>
        <v>8.5000059679877144E-2</v>
      </c>
      <c r="AF36" s="13">
        <f t="shared" si="1"/>
        <v>0</v>
      </c>
    </row>
    <row r="37" spans="1:32" x14ac:dyDescent="0.3">
      <c r="A37" s="16">
        <v>2040</v>
      </c>
      <c r="C37" s="17">
        <v>9390</v>
      </c>
      <c r="E37" s="17">
        <v>4760</v>
      </c>
      <c r="G37" s="17">
        <v>7534</v>
      </c>
      <c r="I37" s="17">
        <v>3547</v>
      </c>
      <c r="K37" s="18">
        <v>60.55</v>
      </c>
      <c r="M37" s="18">
        <v>1.78</v>
      </c>
      <c r="O37" s="17">
        <v>462575</v>
      </c>
      <c r="Q37" s="17">
        <v>39319</v>
      </c>
      <c r="S37" s="17">
        <v>69791</v>
      </c>
      <c r="U37" s="17">
        <v>6608</v>
      </c>
      <c r="W37" s="17">
        <v>0</v>
      </c>
      <c r="Y37" s="17">
        <v>0</v>
      </c>
      <c r="AA37" s="17">
        <v>346858</v>
      </c>
      <c r="AC37" s="17">
        <v>66821</v>
      </c>
      <c r="AE37" s="13">
        <f t="shared" si="0"/>
        <v>8.5000270226449764E-2</v>
      </c>
      <c r="AF37" s="13">
        <f t="shared" si="1"/>
        <v>0</v>
      </c>
    </row>
    <row r="38" spans="1:32" x14ac:dyDescent="0.3">
      <c r="A38" s="16">
        <v>2041</v>
      </c>
      <c r="C38" s="17">
        <v>8617</v>
      </c>
      <c r="E38" s="17">
        <v>4364</v>
      </c>
      <c r="G38" s="17">
        <v>6928</v>
      </c>
      <c r="I38" s="17">
        <v>3258</v>
      </c>
      <c r="K38" s="18">
        <v>60.55</v>
      </c>
      <c r="M38" s="18">
        <v>1.79</v>
      </c>
      <c r="O38" s="17">
        <v>425266</v>
      </c>
      <c r="Q38" s="17">
        <v>36147</v>
      </c>
      <c r="S38" s="17">
        <v>69952</v>
      </c>
      <c r="U38" s="17">
        <v>6607</v>
      </c>
      <c r="W38" s="17">
        <v>0</v>
      </c>
      <c r="Y38" s="17">
        <v>0</v>
      </c>
      <c r="AA38" s="17">
        <v>312559</v>
      </c>
      <c r="AC38" s="17">
        <v>54505</v>
      </c>
      <c r="AE38" s="13">
        <f t="shared" si="0"/>
        <v>8.4998565603645715E-2</v>
      </c>
      <c r="AF38" s="13">
        <f t="shared" si="1"/>
        <v>0</v>
      </c>
    </row>
    <row r="39" spans="1:32" x14ac:dyDescent="0.3">
      <c r="A39" s="16">
        <v>2042</v>
      </c>
      <c r="C39" s="17">
        <v>7718</v>
      </c>
      <c r="E39" s="17">
        <v>3881</v>
      </c>
      <c r="G39" s="17">
        <v>6258</v>
      </c>
      <c r="I39" s="17">
        <v>2917</v>
      </c>
      <c r="K39" s="18">
        <v>60.53</v>
      </c>
      <c r="M39" s="18">
        <v>1.78</v>
      </c>
      <c r="O39" s="17">
        <v>384000</v>
      </c>
      <c r="Q39" s="17">
        <v>32640</v>
      </c>
      <c r="S39" s="17">
        <v>70520</v>
      </c>
      <c r="U39" s="17">
        <v>6608</v>
      </c>
      <c r="W39" s="17">
        <v>0</v>
      </c>
      <c r="Y39" s="17">
        <v>0</v>
      </c>
      <c r="AA39" s="17">
        <v>274232</v>
      </c>
      <c r="AC39" s="17">
        <v>43289</v>
      </c>
      <c r="AE39" s="13">
        <f t="shared" si="0"/>
        <v>8.5000000000000006E-2</v>
      </c>
      <c r="AF39" s="13">
        <f t="shared" si="1"/>
        <v>0</v>
      </c>
    </row>
    <row r="40" spans="1:32" x14ac:dyDescent="0.3">
      <c r="A40" s="16">
        <v>2043</v>
      </c>
      <c r="C40" s="17">
        <v>6829</v>
      </c>
      <c r="E40" s="17">
        <v>3429</v>
      </c>
      <c r="G40" s="17">
        <v>5600</v>
      </c>
      <c r="I40" s="17">
        <v>2598</v>
      </c>
      <c r="K40" s="18">
        <v>60.49</v>
      </c>
      <c r="M40" s="18">
        <v>1.79</v>
      </c>
      <c r="O40" s="17">
        <v>343400</v>
      </c>
      <c r="Q40" s="17">
        <v>29189</v>
      </c>
      <c r="S40" s="17">
        <v>71340</v>
      </c>
      <c r="U40" s="17">
        <v>6607</v>
      </c>
      <c r="W40" s="17">
        <v>0</v>
      </c>
      <c r="Y40" s="17">
        <v>0</v>
      </c>
      <c r="AA40" s="17">
        <v>236263</v>
      </c>
      <c r="AC40" s="17">
        <v>33761</v>
      </c>
      <c r="AE40" s="13">
        <f t="shared" si="0"/>
        <v>8.5000000000000006E-2</v>
      </c>
      <c r="AF40" s="13">
        <f t="shared" si="1"/>
        <v>0</v>
      </c>
    </row>
    <row r="41" spans="1:32" ht="21.9" customHeight="1" x14ac:dyDescent="0.3">
      <c r="A41" s="16">
        <v>2044</v>
      </c>
      <c r="C41" s="17">
        <v>6228</v>
      </c>
      <c r="E41" s="17">
        <v>0</v>
      </c>
      <c r="G41" s="17">
        <v>5137</v>
      </c>
      <c r="I41" s="17">
        <v>0</v>
      </c>
      <c r="K41" s="18">
        <v>60.48</v>
      </c>
      <c r="M41" s="18">
        <v>1.78</v>
      </c>
      <c r="O41" s="17">
        <v>310685</v>
      </c>
      <c r="Q41" s="17">
        <v>26783</v>
      </c>
      <c r="S41" s="17">
        <v>71792</v>
      </c>
      <c r="U41" s="17">
        <v>6608</v>
      </c>
      <c r="W41" s="17">
        <v>0</v>
      </c>
      <c r="Y41" s="17">
        <v>0</v>
      </c>
      <c r="AA41" s="17">
        <v>205503</v>
      </c>
      <c r="AC41" s="17">
        <v>26581</v>
      </c>
      <c r="AE41" s="13">
        <f t="shared" si="0"/>
        <v>8.6206286109725291E-2</v>
      </c>
      <c r="AF41" s="13">
        <f t="shared" si="1"/>
        <v>0</v>
      </c>
    </row>
    <row r="42" spans="1:32" x14ac:dyDescent="0.3">
      <c r="A42" s="16">
        <v>2045</v>
      </c>
      <c r="C42" s="17">
        <v>5734</v>
      </c>
      <c r="E42" s="17">
        <v>0</v>
      </c>
      <c r="G42" s="17">
        <v>4751</v>
      </c>
      <c r="I42" s="17">
        <v>0</v>
      </c>
      <c r="K42" s="18">
        <v>60.47</v>
      </c>
      <c r="M42" s="18">
        <v>1.79</v>
      </c>
      <c r="O42" s="17">
        <v>287262</v>
      </c>
      <c r="Q42" s="17">
        <v>24788</v>
      </c>
      <c r="S42" s="17">
        <v>72016</v>
      </c>
      <c r="U42" s="17">
        <v>6607</v>
      </c>
      <c r="W42" s="17">
        <v>0</v>
      </c>
      <c r="Y42" s="17">
        <v>0</v>
      </c>
      <c r="AA42" s="17">
        <v>183852</v>
      </c>
      <c r="AC42" s="17">
        <v>21527</v>
      </c>
      <c r="AE42" s="13">
        <f t="shared" si="0"/>
        <v>8.6290564014732202E-2</v>
      </c>
      <c r="AF42" s="13">
        <f t="shared" si="1"/>
        <v>0</v>
      </c>
    </row>
    <row r="43" spans="1:32" x14ac:dyDescent="0.3">
      <c r="A43" s="16">
        <v>2046</v>
      </c>
      <c r="C43" s="17">
        <v>5334</v>
      </c>
      <c r="E43" s="17">
        <v>0</v>
      </c>
      <c r="G43" s="17">
        <v>4423</v>
      </c>
      <c r="I43" s="17">
        <v>0</v>
      </c>
      <c r="K43" s="18">
        <v>60.46</v>
      </c>
      <c r="M43" s="18">
        <v>1.78</v>
      </c>
      <c r="O43" s="17">
        <v>267434</v>
      </c>
      <c r="Q43" s="17">
        <v>23083</v>
      </c>
      <c r="S43" s="17">
        <v>72190</v>
      </c>
      <c r="U43" s="17">
        <v>6608</v>
      </c>
      <c r="W43" s="17">
        <v>0</v>
      </c>
      <c r="Y43" s="17">
        <v>0</v>
      </c>
      <c r="AA43" s="17">
        <v>165552</v>
      </c>
      <c r="AC43" s="17">
        <v>17547</v>
      </c>
      <c r="AE43" s="13">
        <f t="shared" si="0"/>
        <v>8.6312884674349555E-2</v>
      </c>
      <c r="AF43" s="13">
        <f t="shared" si="1"/>
        <v>0</v>
      </c>
    </row>
    <row r="44" spans="1:32" x14ac:dyDescent="0.3">
      <c r="A44" s="16">
        <v>2047</v>
      </c>
      <c r="C44" s="17">
        <v>4986</v>
      </c>
      <c r="E44" s="17">
        <v>0</v>
      </c>
      <c r="G44" s="17">
        <v>4142</v>
      </c>
      <c r="I44" s="17">
        <v>0</v>
      </c>
      <c r="K44" s="18">
        <v>60.46</v>
      </c>
      <c r="M44" s="18">
        <v>1.79</v>
      </c>
      <c r="O44" s="17">
        <v>250434</v>
      </c>
      <c r="Q44" s="17">
        <v>21613</v>
      </c>
      <c r="S44" s="17">
        <v>72279</v>
      </c>
      <c r="U44" s="17">
        <v>6607</v>
      </c>
      <c r="W44" s="17">
        <v>0</v>
      </c>
      <c r="Y44" s="17">
        <v>0</v>
      </c>
      <c r="AA44" s="17">
        <v>149936</v>
      </c>
      <c r="AC44" s="17">
        <v>14385</v>
      </c>
      <c r="AE44" s="13">
        <f t="shared" si="0"/>
        <v>8.6302179416532898E-2</v>
      </c>
      <c r="AF44" s="13">
        <f t="shared" si="1"/>
        <v>0</v>
      </c>
    </row>
    <row r="45" spans="1:32" x14ac:dyDescent="0.3">
      <c r="A45" s="16">
        <v>2048</v>
      </c>
      <c r="C45" s="17">
        <v>4699</v>
      </c>
      <c r="E45" s="17">
        <v>0</v>
      </c>
      <c r="G45" s="17">
        <v>3905</v>
      </c>
      <c r="I45" s="17">
        <v>0</v>
      </c>
      <c r="K45" s="18">
        <v>60.46</v>
      </c>
      <c r="M45" s="18">
        <v>1.78</v>
      </c>
      <c r="O45" s="17">
        <v>236059</v>
      </c>
      <c r="Q45" s="17">
        <v>20370</v>
      </c>
      <c r="S45" s="17">
        <v>72314</v>
      </c>
      <c r="U45" s="17">
        <v>6608</v>
      </c>
      <c r="W45" s="17">
        <v>0</v>
      </c>
      <c r="Y45" s="17">
        <v>0</v>
      </c>
      <c r="AA45" s="17">
        <v>136765</v>
      </c>
      <c r="AC45" s="17">
        <v>11878</v>
      </c>
      <c r="AE45" s="13">
        <f t="shared" si="0"/>
        <v>8.6291986325452541E-2</v>
      </c>
      <c r="AF45" s="13">
        <f t="shared" si="1"/>
        <v>0</v>
      </c>
    </row>
    <row r="46" spans="1:32" ht="21.9" customHeight="1" x14ac:dyDescent="0.3">
      <c r="A46" s="16">
        <v>2049</v>
      </c>
      <c r="C46" s="17">
        <v>4415</v>
      </c>
      <c r="E46" s="17">
        <v>0</v>
      </c>
      <c r="G46" s="17">
        <v>3671</v>
      </c>
      <c r="I46" s="17">
        <v>0</v>
      </c>
      <c r="K46" s="18">
        <v>60.45</v>
      </c>
      <c r="M46" s="18">
        <v>1.79</v>
      </c>
      <c r="O46" s="17">
        <v>221942</v>
      </c>
      <c r="Q46" s="17">
        <v>19153</v>
      </c>
      <c r="S46" s="17">
        <v>72319</v>
      </c>
      <c r="U46" s="17">
        <v>6607</v>
      </c>
      <c r="W46" s="17">
        <v>0</v>
      </c>
      <c r="Y46" s="17">
        <v>0</v>
      </c>
      <c r="AA46" s="17">
        <v>123864</v>
      </c>
      <c r="AC46" s="17">
        <v>9738</v>
      </c>
      <c r="AE46" s="13">
        <f t="shared" si="0"/>
        <v>8.6297320921682241E-2</v>
      </c>
      <c r="AF46" s="13">
        <f t="shared" si="1"/>
        <v>0</v>
      </c>
    </row>
    <row r="47" spans="1:32" x14ac:dyDescent="0.3">
      <c r="A47" s="16">
        <v>2050</v>
      </c>
      <c r="C47" s="17">
        <v>4181</v>
      </c>
      <c r="E47" s="17">
        <v>0</v>
      </c>
      <c r="G47" s="17">
        <v>3472</v>
      </c>
      <c r="I47" s="17">
        <v>0</v>
      </c>
      <c r="K47" s="18">
        <v>60.46</v>
      </c>
      <c r="M47" s="18">
        <v>1.78</v>
      </c>
      <c r="O47" s="17">
        <v>209938</v>
      </c>
      <c r="Q47" s="17">
        <v>18116</v>
      </c>
      <c r="S47" s="17">
        <v>72284</v>
      </c>
      <c r="U47" s="17">
        <v>6608</v>
      </c>
      <c r="W47" s="17">
        <v>0</v>
      </c>
      <c r="Y47" s="17">
        <v>0</v>
      </c>
      <c r="AA47" s="17">
        <v>112931</v>
      </c>
      <c r="AC47" s="17">
        <v>8037</v>
      </c>
      <c r="AE47" s="13">
        <f t="shared" si="0"/>
        <v>8.6292143394716539E-2</v>
      </c>
      <c r="AF47" s="13">
        <f t="shared" si="1"/>
        <v>0</v>
      </c>
    </row>
    <row r="48" spans="1:32" x14ac:dyDescent="0.3">
      <c r="A48" s="16">
        <v>2051</v>
      </c>
      <c r="C48" s="17">
        <v>3970</v>
      </c>
      <c r="E48" s="17">
        <v>0</v>
      </c>
      <c r="G48" s="17">
        <v>3294</v>
      </c>
      <c r="I48" s="17">
        <v>0</v>
      </c>
      <c r="K48" s="18">
        <v>60.46</v>
      </c>
      <c r="M48" s="18">
        <v>1.78</v>
      </c>
      <c r="O48" s="17">
        <v>199147</v>
      </c>
      <c r="Q48" s="17">
        <v>17184</v>
      </c>
      <c r="S48" s="17">
        <v>72214</v>
      </c>
      <c r="U48" s="17">
        <v>6607</v>
      </c>
      <c r="W48" s="17">
        <v>0</v>
      </c>
      <c r="Y48" s="17">
        <v>0</v>
      </c>
      <c r="AA48" s="17">
        <v>103142</v>
      </c>
      <c r="AC48" s="17">
        <v>6644</v>
      </c>
      <c r="AE48" s="13">
        <f t="shared" si="0"/>
        <v>8.6288018398469474E-2</v>
      </c>
      <c r="AF48" s="13">
        <f t="shared" si="1"/>
        <v>0</v>
      </c>
    </row>
    <row r="49" spans="1:32" x14ac:dyDescent="0.3">
      <c r="A49" s="16">
        <v>2052</v>
      </c>
      <c r="C49" s="17">
        <v>3003</v>
      </c>
      <c r="E49" s="17">
        <v>0</v>
      </c>
      <c r="G49" s="17">
        <v>2360</v>
      </c>
      <c r="I49" s="17">
        <v>0</v>
      </c>
      <c r="K49" s="18">
        <v>60.62</v>
      </c>
      <c r="M49" s="18">
        <v>1.79</v>
      </c>
      <c r="O49" s="17">
        <v>143032</v>
      </c>
      <c r="Q49" s="17">
        <v>12363</v>
      </c>
      <c r="S49" s="17">
        <v>68270</v>
      </c>
      <c r="U49" s="17">
        <v>0</v>
      </c>
      <c r="W49" s="17">
        <v>0</v>
      </c>
      <c r="Y49" s="17">
        <v>0</v>
      </c>
      <c r="AA49" s="17">
        <v>62398</v>
      </c>
      <c r="AC49" s="17">
        <v>3639</v>
      </c>
      <c r="AE49" s="13">
        <f t="shared" si="0"/>
        <v>8.6435203311147152E-2</v>
      </c>
      <c r="AF49" s="13">
        <f t="shared" si="1"/>
        <v>0</v>
      </c>
    </row>
    <row r="50" spans="1:32" x14ac:dyDescent="0.3">
      <c r="A50" s="16">
        <v>2053</v>
      </c>
      <c r="C50" s="17">
        <v>1738</v>
      </c>
      <c r="E50" s="17">
        <v>0</v>
      </c>
      <c r="G50" s="17">
        <v>1117</v>
      </c>
      <c r="I50" s="17">
        <v>0</v>
      </c>
      <c r="K50" s="18">
        <v>61.25</v>
      </c>
      <c r="M50" s="18">
        <v>1.78</v>
      </c>
      <c r="O50" s="17">
        <v>68441</v>
      </c>
      <c r="Q50" s="17">
        <v>5958</v>
      </c>
      <c r="S50" s="17">
        <v>55941</v>
      </c>
      <c r="U50" s="17">
        <v>0</v>
      </c>
      <c r="W50" s="17">
        <v>0</v>
      </c>
      <c r="Y50" s="17">
        <v>0</v>
      </c>
      <c r="AA50" s="17">
        <v>6542</v>
      </c>
      <c r="AC50" s="17">
        <v>345</v>
      </c>
      <c r="AE50" s="13">
        <f t="shared" si="0"/>
        <v>8.7053082216799874E-2</v>
      </c>
      <c r="AF50" s="13">
        <f t="shared" si="1"/>
        <v>0</v>
      </c>
    </row>
    <row r="51" spans="1:32" ht="21.9" customHeight="1" x14ac:dyDescent="0.3">
      <c r="A51" s="16">
        <v>2054</v>
      </c>
      <c r="C51" s="17">
        <v>1627</v>
      </c>
      <c r="E51" s="17">
        <v>0</v>
      </c>
      <c r="G51" s="17">
        <v>1046</v>
      </c>
      <c r="I51" s="17">
        <v>0</v>
      </c>
      <c r="K51" s="18">
        <v>61.25</v>
      </c>
      <c r="M51" s="18">
        <v>1.79</v>
      </c>
      <c r="O51" s="17">
        <v>64041</v>
      </c>
      <c r="Q51" s="17">
        <v>5574</v>
      </c>
      <c r="S51" s="17">
        <v>55941</v>
      </c>
      <c r="U51" s="17">
        <v>0</v>
      </c>
      <c r="W51" s="17">
        <v>0</v>
      </c>
      <c r="Y51" s="17">
        <v>0</v>
      </c>
      <c r="AA51" s="17">
        <v>2526</v>
      </c>
      <c r="AC51" s="17">
        <v>121</v>
      </c>
      <c r="AE51" s="13">
        <f t="shared" si="0"/>
        <v>8.7037991286831873E-2</v>
      </c>
      <c r="AF51" s="13">
        <f t="shared" si="1"/>
        <v>0</v>
      </c>
    </row>
    <row r="52" spans="1:32" x14ac:dyDescent="0.3">
      <c r="A52" s="16">
        <v>2055</v>
      </c>
      <c r="C52" s="17">
        <v>0</v>
      </c>
      <c r="E52" s="17">
        <v>0</v>
      </c>
      <c r="G52" s="17">
        <v>0</v>
      </c>
      <c r="I52" s="17">
        <v>0</v>
      </c>
      <c r="K52" s="18">
        <v>0</v>
      </c>
      <c r="M52" s="18">
        <v>0</v>
      </c>
      <c r="O52" s="17">
        <v>0</v>
      </c>
      <c r="Q52" s="17">
        <v>0</v>
      </c>
      <c r="S52" s="17">
        <v>0</v>
      </c>
      <c r="U52" s="17">
        <v>0</v>
      </c>
      <c r="W52" s="17">
        <v>249246</v>
      </c>
      <c r="Y52" s="17">
        <v>0</v>
      </c>
      <c r="AA52" s="17">
        <v>-249246</v>
      </c>
      <c r="AC52" s="17">
        <v>-10781</v>
      </c>
      <c r="AE52" s="13">
        <f t="shared" si="0"/>
        <v>0</v>
      </c>
      <c r="AF52" s="13">
        <f t="shared" si="1"/>
        <v>0</v>
      </c>
    </row>
    <row r="53" spans="1:32" x14ac:dyDescent="0.3">
      <c r="A53" s="16">
        <v>2056</v>
      </c>
      <c r="C53" s="17">
        <v>0</v>
      </c>
      <c r="E53" s="17">
        <v>0</v>
      </c>
      <c r="G53" s="17">
        <v>0</v>
      </c>
      <c r="I53" s="17">
        <v>0</v>
      </c>
      <c r="K53" s="18">
        <v>0</v>
      </c>
      <c r="M53" s="18">
        <v>0</v>
      </c>
      <c r="O53" s="17">
        <v>0</v>
      </c>
      <c r="Q53" s="17">
        <v>0</v>
      </c>
      <c r="S53" s="17">
        <v>0</v>
      </c>
      <c r="U53" s="17">
        <v>0</v>
      </c>
      <c r="W53" s="17">
        <v>0</v>
      </c>
      <c r="Y53" s="17">
        <v>0</v>
      </c>
      <c r="AA53" s="17">
        <v>0</v>
      </c>
      <c r="AC53" s="17">
        <v>0</v>
      </c>
      <c r="AE53" s="13">
        <f t="shared" si="0"/>
        <v>0</v>
      </c>
      <c r="AF53" s="13">
        <f t="shared" si="1"/>
        <v>0</v>
      </c>
    </row>
    <row r="54" spans="1:32" x14ac:dyDescent="0.3">
      <c r="A54" s="16">
        <v>2057</v>
      </c>
      <c r="C54" s="17">
        <v>0</v>
      </c>
      <c r="E54" s="17">
        <v>0</v>
      </c>
      <c r="G54" s="17">
        <v>0</v>
      </c>
      <c r="I54" s="17">
        <v>0</v>
      </c>
      <c r="K54" s="18">
        <v>0</v>
      </c>
      <c r="M54" s="18">
        <v>0</v>
      </c>
      <c r="O54" s="17">
        <v>0</v>
      </c>
      <c r="Q54" s="17">
        <v>0</v>
      </c>
      <c r="S54" s="17">
        <v>0</v>
      </c>
      <c r="U54" s="17">
        <v>0</v>
      </c>
      <c r="W54" s="17">
        <v>0</v>
      </c>
      <c r="Y54" s="17">
        <v>0</v>
      </c>
      <c r="AA54" s="17">
        <v>0</v>
      </c>
      <c r="AC54" s="17">
        <v>0</v>
      </c>
      <c r="AE54" s="13">
        <f t="shared" si="0"/>
        <v>0</v>
      </c>
      <c r="AF54" s="13">
        <f t="shared" si="1"/>
        <v>0</v>
      </c>
    </row>
    <row r="55" spans="1:32" x14ac:dyDescent="0.3">
      <c r="A55" s="16">
        <v>2058</v>
      </c>
      <c r="C55" s="17">
        <v>0</v>
      </c>
      <c r="E55" s="17">
        <v>0</v>
      </c>
      <c r="G55" s="17">
        <v>0</v>
      </c>
      <c r="I55" s="17">
        <v>0</v>
      </c>
      <c r="K55" s="18">
        <v>0</v>
      </c>
      <c r="M55" s="18">
        <v>0</v>
      </c>
      <c r="O55" s="17">
        <v>0</v>
      </c>
      <c r="Q55" s="17">
        <v>0</v>
      </c>
      <c r="S55" s="17">
        <v>0</v>
      </c>
      <c r="U55" s="17">
        <v>0</v>
      </c>
      <c r="W55" s="17">
        <v>0</v>
      </c>
      <c r="Y55" s="17">
        <v>0</v>
      </c>
      <c r="AA55" s="17">
        <v>0</v>
      </c>
      <c r="AC55" s="17">
        <v>0</v>
      </c>
      <c r="AE55" s="13">
        <f t="shared" si="0"/>
        <v>0</v>
      </c>
      <c r="AF55" s="13">
        <f t="shared" si="1"/>
        <v>0</v>
      </c>
    </row>
    <row r="56" spans="1:32" ht="21.9" customHeight="1" x14ac:dyDescent="0.3">
      <c r="A56" s="16">
        <v>2059</v>
      </c>
      <c r="C56" s="17">
        <v>0</v>
      </c>
      <c r="E56" s="17">
        <v>0</v>
      </c>
      <c r="G56" s="17">
        <v>0</v>
      </c>
      <c r="I56" s="17">
        <v>0</v>
      </c>
      <c r="K56" s="18">
        <v>0</v>
      </c>
      <c r="M56" s="18">
        <v>0</v>
      </c>
      <c r="O56" s="17">
        <v>0</v>
      </c>
      <c r="Q56" s="17">
        <v>0</v>
      </c>
      <c r="S56" s="17">
        <v>0</v>
      </c>
      <c r="U56" s="17">
        <v>0</v>
      </c>
      <c r="W56" s="17">
        <v>0</v>
      </c>
      <c r="Y56" s="17">
        <v>0</v>
      </c>
      <c r="AA56" s="17">
        <v>0</v>
      </c>
      <c r="AC56" s="17">
        <v>0</v>
      </c>
      <c r="AE56" s="13">
        <f t="shared" si="0"/>
        <v>0</v>
      </c>
      <c r="AF56" s="13">
        <f t="shared" si="1"/>
        <v>0</v>
      </c>
    </row>
    <row r="57" spans="1:32" x14ac:dyDescent="0.3">
      <c r="A57" s="16">
        <v>2060</v>
      </c>
      <c r="C57" s="19">
        <v>0</v>
      </c>
      <c r="E57" s="19">
        <v>0</v>
      </c>
      <c r="G57" s="19">
        <v>0</v>
      </c>
      <c r="I57" s="19">
        <v>0</v>
      </c>
      <c r="K57" s="18">
        <v>0</v>
      </c>
      <c r="M57" s="18">
        <v>0</v>
      </c>
      <c r="O57" s="19">
        <v>0</v>
      </c>
      <c r="Q57" s="19">
        <v>0</v>
      </c>
      <c r="S57" s="19">
        <v>0</v>
      </c>
      <c r="U57" s="19">
        <v>0</v>
      </c>
      <c r="W57" s="19">
        <v>0</v>
      </c>
      <c r="Y57" s="19">
        <v>0</v>
      </c>
      <c r="AA57" s="19">
        <v>0</v>
      </c>
      <c r="AC57" s="19">
        <v>0</v>
      </c>
      <c r="AE57" s="13">
        <f t="shared" si="0"/>
        <v>0</v>
      </c>
      <c r="AF57" s="13">
        <f t="shared" si="1"/>
        <v>0</v>
      </c>
    </row>
    <row r="58" spans="1:32" x14ac:dyDescent="0.3">
      <c r="AE58" s="13"/>
      <c r="AF58" s="13"/>
    </row>
    <row r="59" spans="1:32" x14ac:dyDescent="0.3">
      <c r="A59" s="231" t="s">
        <v>2</v>
      </c>
      <c r="C59" s="232">
        <v>418459</v>
      </c>
      <c r="E59" s="232">
        <v>255441</v>
      </c>
      <c r="G59" s="232">
        <v>338730</v>
      </c>
      <c r="I59" s="232">
        <v>184513</v>
      </c>
      <c r="O59" s="232">
        <v>20832607</v>
      </c>
      <c r="Q59" s="232">
        <v>1773791</v>
      </c>
      <c r="S59" s="232">
        <v>2164188</v>
      </c>
      <c r="U59" s="232">
        <v>527192</v>
      </c>
      <c r="W59" s="232">
        <v>249246</v>
      </c>
      <c r="Y59" s="232">
        <v>290375</v>
      </c>
      <c r="AA59" s="232">
        <v>15827815</v>
      </c>
      <c r="AC59" s="232">
        <v>8327905</v>
      </c>
      <c r="AE59" s="13"/>
      <c r="AF59" s="13"/>
    </row>
    <row r="60" spans="1:32" x14ac:dyDescent="0.3">
      <c r="AE60" s="13"/>
      <c r="AF60" s="13"/>
    </row>
    <row r="61" spans="1:32" ht="21.9" customHeight="1" x14ac:dyDescent="0.3">
      <c r="A61" t="s">
        <v>47</v>
      </c>
      <c r="AA61" s="228" t="s">
        <v>729</v>
      </c>
      <c r="AB61" s="15"/>
      <c r="AC61" s="15"/>
      <c r="AE61" s="13"/>
      <c r="AF61" s="13"/>
    </row>
    <row r="62" spans="1:32" x14ac:dyDescent="0.3">
      <c r="A62" t="s">
        <v>86</v>
      </c>
      <c r="AA62" s="20" t="s">
        <v>48</v>
      </c>
      <c r="AC62" s="17">
        <v>11068006</v>
      </c>
      <c r="AE62" s="13"/>
      <c r="AF62" s="13"/>
    </row>
    <row r="63" spans="1:32" x14ac:dyDescent="0.3">
      <c r="A63" t="s">
        <v>83</v>
      </c>
      <c r="AA63" s="20" t="s">
        <v>49</v>
      </c>
      <c r="AC63" s="17">
        <v>6604329</v>
      </c>
      <c r="AE63" s="13"/>
      <c r="AF63" s="13"/>
    </row>
    <row r="64" spans="1:32" x14ac:dyDescent="0.3">
      <c r="A64" t="s">
        <v>84</v>
      </c>
      <c r="AA64" s="20" t="s">
        <v>50</v>
      </c>
      <c r="AC64" s="17">
        <v>5435979</v>
      </c>
      <c r="AE64" s="13"/>
      <c r="AF64" s="13"/>
    </row>
    <row r="65" spans="1:1" ht="8.1" customHeight="1" x14ac:dyDescent="0.3">
      <c r="A65" t="s">
        <v>85</v>
      </c>
    </row>
    <row r="66" spans="1:1" x14ac:dyDescent="0.3">
      <c r="A66" t="s">
        <v>736</v>
      </c>
    </row>
    <row r="67" spans="1:1" x14ac:dyDescent="0.3">
      <c r="A67" s="233" t="s">
        <v>737</v>
      </c>
    </row>
  </sheetData>
  <printOptions horizontalCentered="1"/>
  <pageMargins left="0.5" right="0.3" top="0.75" bottom="0.75" header="0.5" footer="0.5"/>
  <pageSetup paperSize="162" scale="4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B22FD-74C3-43D7-9788-EF7A8FF89383}">
  <sheetPr>
    <tabColor rgb="FF7030A0"/>
    <pageSetUpPr fitToPage="1"/>
  </sheetPr>
  <dimension ref="A1:AH67"/>
  <sheetViews>
    <sheetView showGridLines="0" zoomScaleNormal="100" zoomScaleSheetLayoutView="100" workbookViewId="0">
      <selection activeCell="S41" sqref="S41"/>
    </sheetView>
  </sheetViews>
  <sheetFormatPr defaultRowHeight="14.4" x14ac:dyDescent="0.3"/>
  <cols>
    <col min="1" max="1" width="6" bestFit="1" customWidth="1"/>
    <col min="2" max="2" width="1.6640625" customWidth="1"/>
    <col min="3" max="3" width="9.5546875" customWidth="1"/>
    <col min="4" max="4" width="1.6640625" customWidth="1"/>
    <col min="5" max="5" width="9.5546875" customWidth="1"/>
    <col min="6" max="6" width="1.6640625" customWidth="1"/>
    <col min="7" max="7" width="9.5546875" customWidth="1"/>
    <col min="8" max="8" width="1.6640625" customWidth="1"/>
    <col min="9" max="9" width="9.5546875" customWidth="1"/>
    <col min="10" max="10" width="1.6640625" customWidth="1"/>
    <col min="11" max="11" width="13.33203125" customWidth="1"/>
    <col min="12" max="12" width="1.6640625" customWidth="1"/>
    <col min="13" max="13" width="13.33203125" bestFit="1" customWidth="1"/>
    <col min="14" max="14" width="1.6640625" customWidth="1"/>
    <col min="15" max="15" width="14.5546875" customWidth="1"/>
    <col min="16" max="16" width="1.6640625" customWidth="1"/>
    <col min="17" max="17" width="14.5546875" hidden="1" customWidth="1"/>
    <col min="18" max="18" width="1.6640625" hidden="1" customWidth="1"/>
    <col min="19" max="19" width="14.5546875" customWidth="1"/>
    <col min="20" max="20" width="1.6640625" customWidth="1"/>
    <col min="21" max="21" width="14.5546875" customWidth="1"/>
    <col min="22" max="22" width="1.6640625" customWidth="1"/>
    <col min="23" max="23" width="14.5546875" customWidth="1"/>
    <col min="24" max="24" width="1.6640625" customWidth="1"/>
    <col min="25" max="25" width="14.5546875" bestFit="1" customWidth="1"/>
    <col min="26" max="26" width="1.6640625" customWidth="1"/>
    <col min="27" max="27" width="14.5546875" customWidth="1"/>
    <col min="28" max="28" width="1.6640625" customWidth="1"/>
    <col min="29" max="29" width="14.5546875" customWidth="1"/>
    <col min="30" max="30" width="1.6640625" customWidth="1"/>
    <col min="31" max="31" width="14.5546875" customWidth="1"/>
  </cols>
  <sheetData>
    <row r="1" spans="1:34" x14ac:dyDescent="0.3">
      <c r="A1" s="226" t="s">
        <v>58</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row>
    <row r="2" spans="1:34" x14ac:dyDescent="0.3">
      <c r="A2" s="226" t="s">
        <v>63</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spans="1:34" x14ac:dyDescent="0.3">
      <c r="A3" s="226" t="s">
        <v>24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row>
    <row r="4" spans="1:34" x14ac:dyDescent="0.3">
      <c r="A4" s="226" t="s">
        <v>718</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row>
    <row r="5" spans="1:34" x14ac:dyDescent="0.3">
      <c r="A5" s="226" t="s">
        <v>62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row>
    <row r="6" spans="1:34" x14ac:dyDescent="0.3">
      <c r="A6" s="226" t="s">
        <v>88</v>
      </c>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row>
    <row r="7" spans="1:34" x14ac:dyDescent="0.3">
      <c r="A7" s="226" t="s">
        <v>25</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spans="1:34" x14ac:dyDescent="0.3">
      <c r="A8" s="226" t="s">
        <v>26</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spans="1:34" x14ac:dyDescent="0.3">
      <c r="A9" s="226" t="s">
        <v>27</v>
      </c>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row>
    <row r="10" spans="1:34" x14ac:dyDescent="0.3">
      <c r="A10" s="226" t="s">
        <v>719</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row>
    <row r="11" spans="1:34" x14ac:dyDescent="0.3">
      <c r="A11" s="226" t="s">
        <v>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row>
    <row r="12" spans="1:34" x14ac:dyDescent="0.3">
      <c r="A12" s="226" t="s">
        <v>5</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row>
    <row r="13" spans="1:34" x14ac:dyDescent="0.3">
      <c r="A13" s="226" t="s">
        <v>5</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spans="1:34" x14ac:dyDescent="0.3">
      <c r="K14" s="227"/>
      <c r="L14" s="14"/>
      <c r="M14" s="14"/>
    </row>
    <row r="15" spans="1:34" x14ac:dyDescent="0.3">
      <c r="C15" s="227" t="s">
        <v>31</v>
      </c>
      <c r="D15" s="14"/>
      <c r="E15" s="14"/>
      <c r="G15" s="227" t="s">
        <v>37</v>
      </c>
      <c r="H15" s="14"/>
      <c r="I15" s="14"/>
      <c r="K15" s="227" t="s">
        <v>76</v>
      </c>
      <c r="L15" s="14"/>
      <c r="M15" s="14"/>
    </row>
    <row r="16" spans="1:34" x14ac:dyDescent="0.3">
      <c r="C16" s="228" t="s">
        <v>52</v>
      </c>
      <c r="D16" s="15"/>
      <c r="E16" s="15"/>
      <c r="G16" s="228" t="s">
        <v>52</v>
      </c>
      <c r="H16" s="15"/>
      <c r="I16" s="15"/>
      <c r="K16" s="228" t="s">
        <v>77</v>
      </c>
      <c r="L16" s="15"/>
      <c r="M16" s="15"/>
      <c r="O16" s="229" t="s">
        <v>28</v>
      </c>
      <c r="S16" s="229" t="s">
        <v>14</v>
      </c>
      <c r="AC16" s="229" t="s">
        <v>28</v>
      </c>
      <c r="AE16" s="229" t="s">
        <v>29</v>
      </c>
      <c r="AG16" s="9" t="s">
        <v>14</v>
      </c>
      <c r="AH16" s="9"/>
    </row>
    <row r="17" spans="1:34" x14ac:dyDescent="0.3">
      <c r="E17" s="229" t="s">
        <v>30</v>
      </c>
      <c r="I17" s="229" t="s">
        <v>30</v>
      </c>
      <c r="M17" s="229" t="s">
        <v>30</v>
      </c>
      <c r="O17" s="229" t="s">
        <v>31</v>
      </c>
      <c r="S17" s="229" t="s">
        <v>33</v>
      </c>
      <c r="U17" s="229" t="s">
        <v>34</v>
      </c>
      <c r="W17" s="229" t="s">
        <v>35</v>
      </c>
      <c r="Y17" s="229" t="s">
        <v>36</v>
      </c>
      <c r="AC17" s="229" t="s">
        <v>37</v>
      </c>
      <c r="AE17" s="229" t="s">
        <v>38</v>
      </c>
      <c r="AG17" s="9" t="s">
        <v>33</v>
      </c>
      <c r="AH17" s="9"/>
    </row>
    <row r="18" spans="1:34" x14ac:dyDescent="0.3">
      <c r="C18" s="229" t="s">
        <v>39</v>
      </c>
      <c r="E18" s="229" t="s">
        <v>40</v>
      </c>
      <c r="G18" s="229" t="s">
        <v>39</v>
      </c>
      <c r="I18" s="229" t="s">
        <v>40</v>
      </c>
      <c r="K18" s="229" t="s">
        <v>39</v>
      </c>
      <c r="M18" s="229" t="s">
        <v>40</v>
      </c>
      <c r="O18" s="229" t="s">
        <v>41</v>
      </c>
      <c r="Q18" s="229" t="s">
        <v>720</v>
      </c>
      <c r="S18" s="229" t="s">
        <v>32</v>
      </c>
      <c r="U18" s="229" t="s">
        <v>42</v>
      </c>
      <c r="W18" s="229" t="s">
        <v>43</v>
      </c>
      <c r="Y18" s="229" t="s">
        <v>78</v>
      </c>
      <c r="AA18" s="229" t="s">
        <v>44</v>
      </c>
      <c r="AC18" s="229" t="s">
        <v>41</v>
      </c>
      <c r="AE18" s="229" t="s">
        <v>45</v>
      </c>
      <c r="AG18" s="9" t="s">
        <v>32</v>
      </c>
      <c r="AH18" s="9" t="s">
        <v>44</v>
      </c>
    </row>
    <row r="19" spans="1:34" ht="16.8" x14ac:dyDescent="0.3">
      <c r="A19" s="230" t="s">
        <v>1</v>
      </c>
      <c r="C19" s="230" t="s">
        <v>723</v>
      </c>
      <c r="E19" s="230" t="s">
        <v>724</v>
      </c>
      <c r="G19" s="230" t="s">
        <v>723</v>
      </c>
      <c r="I19" s="230" t="s">
        <v>724</v>
      </c>
      <c r="K19" s="230" t="s">
        <v>46</v>
      </c>
      <c r="M19" s="230" t="s">
        <v>725</v>
      </c>
      <c r="O19" s="230" t="s">
        <v>728</v>
      </c>
      <c r="Q19" s="230" t="s">
        <v>728</v>
      </c>
      <c r="S19" s="230" t="s">
        <v>728</v>
      </c>
      <c r="U19" s="230" t="s">
        <v>728</v>
      </c>
      <c r="W19" s="230" t="s">
        <v>728</v>
      </c>
      <c r="Y19" s="230" t="s">
        <v>728</v>
      </c>
      <c r="AA19" s="230" t="s">
        <v>728</v>
      </c>
      <c r="AC19" s="230" t="s">
        <v>728</v>
      </c>
      <c r="AE19" s="230" t="s">
        <v>728</v>
      </c>
      <c r="AG19" s="10" t="s">
        <v>71</v>
      </c>
      <c r="AH19" s="10" t="s">
        <v>71</v>
      </c>
    </row>
    <row r="20" spans="1:34" x14ac:dyDescent="0.3">
      <c r="AG20" s="8"/>
      <c r="AH20" s="8"/>
    </row>
    <row r="21" spans="1:34" x14ac:dyDescent="0.3">
      <c r="A21" s="16">
        <v>2024</v>
      </c>
      <c r="C21" s="17">
        <v>5574</v>
      </c>
      <c r="E21" s="17">
        <v>0</v>
      </c>
      <c r="G21" s="17">
        <v>5574</v>
      </c>
      <c r="I21" s="17">
        <v>0</v>
      </c>
      <c r="K21" s="18">
        <v>58</v>
      </c>
      <c r="M21" s="18">
        <v>0</v>
      </c>
      <c r="O21" s="17">
        <v>323356</v>
      </c>
      <c r="Q21" s="17">
        <v>0</v>
      </c>
      <c r="S21" s="17">
        <v>21793</v>
      </c>
      <c r="U21" s="17">
        <v>87000</v>
      </c>
      <c r="W21" s="17">
        <v>32500</v>
      </c>
      <c r="Y21" s="17">
        <v>0</v>
      </c>
      <c r="AA21" s="17">
        <v>0</v>
      </c>
      <c r="AC21" s="17">
        <v>182062</v>
      </c>
      <c r="AE21" s="17">
        <v>172573</v>
      </c>
      <c r="AG21" s="13">
        <f t="shared" ref="AG21:AG57" si="0">IFERROR(S21/O21,0)</f>
        <v>6.7396306238325557E-2</v>
      </c>
      <c r="AH21" s="13">
        <f t="shared" ref="AH21:AH57" si="1">IFERROR(AA21/O21,0)</f>
        <v>0</v>
      </c>
    </row>
    <row r="22" spans="1:34" x14ac:dyDescent="0.3">
      <c r="A22" s="16">
        <v>2025</v>
      </c>
      <c r="C22" s="17">
        <v>5648</v>
      </c>
      <c r="E22" s="17">
        <v>0</v>
      </c>
      <c r="G22" s="17">
        <v>5648</v>
      </c>
      <c r="I22" s="17">
        <v>0</v>
      </c>
      <c r="K22" s="18">
        <v>58</v>
      </c>
      <c r="M22" s="18">
        <v>0</v>
      </c>
      <c r="O22" s="17">
        <v>327517</v>
      </c>
      <c r="Q22" s="17">
        <v>0</v>
      </c>
      <c r="S22" s="17">
        <v>21371</v>
      </c>
      <c r="U22" s="17">
        <v>87000</v>
      </c>
      <c r="W22" s="17">
        <v>15500</v>
      </c>
      <c r="Y22" s="17">
        <v>0</v>
      </c>
      <c r="AA22" s="17">
        <v>0</v>
      </c>
      <c r="AC22" s="17">
        <v>203647</v>
      </c>
      <c r="AE22" s="17">
        <v>174734</v>
      </c>
      <c r="AG22" s="13">
        <f t="shared" si="0"/>
        <v>6.5251574727418729E-2</v>
      </c>
      <c r="AH22" s="13">
        <f t="shared" si="1"/>
        <v>0</v>
      </c>
    </row>
    <row r="23" spans="1:34" x14ac:dyDescent="0.3">
      <c r="A23" s="16">
        <v>2026</v>
      </c>
      <c r="C23" s="17">
        <v>5172</v>
      </c>
      <c r="E23" s="17">
        <v>0</v>
      </c>
      <c r="G23" s="17">
        <v>5172</v>
      </c>
      <c r="I23" s="17">
        <v>0</v>
      </c>
      <c r="K23" s="18">
        <v>58</v>
      </c>
      <c r="M23" s="18">
        <v>0</v>
      </c>
      <c r="O23" s="17">
        <v>300038</v>
      </c>
      <c r="Q23" s="17">
        <v>0</v>
      </c>
      <c r="S23" s="17">
        <v>19669</v>
      </c>
      <c r="U23" s="17">
        <v>87000</v>
      </c>
      <c r="W23" s="17">
        <v>48000</v>
      </c>
      <c r="Y23" s="17">
        <v>0</v>
      </c>
      <c r="AA23" s="17">
        <v>0</v>
      </c>
      <c r="AC23" s="17">
        <v>145369</v>
      </c>
      <c r="AE23" s="17">
        <v>112908</v>
      </c>
      <c r="AG23" s="13">
        <f t="shared" si="0"/>
        <v>6.555502969623847E-2</v>
      </c>
      <c r="AH23" s="13">
        <f t="shared" si="1"/>
        <v>0</v>
      </c>
    </row>
    <row r="24" spans="1:34" x14ac:dyDescent="0.3">
      <c r="A24" s="16">
        <v>2027</v>
      </c>
      <c r="C24" s="17">
        <v>4467</v>
      </c>
      <c r="E24" s="17">
        <v>0</v>
      </c>
      <c r="G24" s="17">
        <v>4467</v>
      </c>
      <c r="I24" s="17">
        <v>0</v>
      </c>
      <c r="K24" s="18">
        <v>58</v>
      </c>
      <c r="M24" s="18">
        <v>0</v>
      </c>
      <c r="O24" s="17">
        <v>259003</v>
      </c>
      <c r="Q24" s="17">
        <v>0</v>
      </c>
      <c r="S24" s="17">
        <v>17492</v>
      </c>
      <c r="U24" s="17">
        <v>87000</v>
      </c>
      <c r="W24" s="17">
        <v>15500</v>
      </c>
      <c r="Y24" s="17">
        <v>0</v>
      </c>
      <c r="AA24" s="17">
        <v>0</v>
      </c>
      <c r="AC24" s="17">
        <v>139010</v>
      </c>
      <c r="AE24" s="17">
        <v>97735</v>
      </c>
      <c r="AG24" s="13">
        <f t="shared" si="0"/>
        <v>6.7535897267599218E-2</v>
      </c>
      <c r="AH24" s="13">
        <f t="shared" si="1"/>
        <v>0</v>
      </c>
    </row>
    <row r="25" spans="1:34" x14ac:dyDescent="0.3">
      <c r="A25" s="16">
        <v>2028</v>
      </c>
      <c r="C25" s="17">
        <v>3873</v>
      </c>
      <c r="E25" s="17">
        <v>0</v>
      </c>
      <c r="G25" s="17">
        <v>3873</v>
      </c>
      <c r="I25" s="17">
        <v>0</v>
      </c>
      <c r="K25" s="18">
        <v>58</v>
      </c>
      <c r="M25" s="18">
        <v>0</v>
      </c>
      <c r="O25" s="17">
        <v>224675</v>
      </c>
      <c r="Q25" s="17">
        <v>0</v>
      </c>
      <c r="S25" s="17">
        <v>15664</v>
      </c>
      <c r="U25" s="17">
        <v>87000</v>
      </c>
      <c r="W25" s="17">
        <v>15500</v>
      </c>
      <c r="Y25" s="17">
        <v>0</v>
      </c>
      <c r="AA25" s="17">
        <v>0</v>
      </c>
      <c r="AC25" s="17">
        <v>106513</v>
      </c>
      <c r="AE25" s="17">
        <v>67788</v>
      </c>
      <c r="AG25" s="13">
        <f t="shared" si="0"/>
        <v>6.9718482252141986E-2</v>
      </c>
      <c r="AH25" s="13">
        <f t="shared" si="1"/>
        <v>0</v>
      </c>
    </row>
    <row r="26" spans="1:34" ht="21.9" customHeight="1" x14ac:dyDescent="0.3">
      <c r="A26" s="16">
        <v>2029</v>
      </c>
      <c r="C26" s="17">
        <v>3348</v>
      </c>
      <c r="E26" s="17">
        <v>0</v>
      </c>
      <c r="G26" s="17">
        <v>3348</v>
      </c>
      <c r="I26" s="17">
        <v>0</v>
      </c>
      <c r="K26" s="18">
        <v>58</v>
      </c>
      <c r="M26" s="18">
        <v>0</v>
      </c>
      <c r="O26" s="17">
        <v>194283</v>
      </c>
      <c r="Q26" s="17">
        <v>0</v>
      </c>
      <c r="S26" s="17">
        <v>14066</v>
      </c>
      <c r="U26" s="17">
        <v>87000</v>
      </c>
      <c r="W26" s="17">
        <v>15500</v>
      </c>
      <c r="Y26" s="17">
        <v>0</v>
      </c>
      <c r="AA26" s="17">
        <v>0</v>
      </c>
      <c r="AC26" s="17">
        <v>77716</v>
      </c>
      <c r="AE26" s="17">
        <v>44773</v>
      </c>
      <c r="AG26" s="13">
        <f t="shared" si="0"/>
        <v>7.2399540875938709E-2</v>
      </c>
      <c r="AH26" s="13">
        <f t="shared" si="1"/>
        <v>0</v>
      </c>
    </row>
    <row r="27" spans="1:34" x14ac:dyDescent="0.3">
      <c r="A27" s="16">
        <v>2030</v>
      </c>
      <c r="C27" s="17">
        <v>2916</v>
      </c>
      <c r="E27" s="17">
        <v>0</v>
      </c>
      <c r="G27" s="17">
        <v>2916</v>
      </c>
      <c r="I27" s="17">
        <v>0</v>
      </c>
      <c r="K27" s="18">
        <v>58</v>
      </c>
      <c r="M27" s="18">
        <v>0</v>
      </c>
      <c r="O27" s="17">
        <v>168878</v>
      </c>
      <c r="Q27" s="17">
        <v>0</v>
      </c>
      <c r="S27" s="17">
        <v>12691</v>
      </c>
      <c r="U27" s="17">
        <v>87000</v>
      </c>
      <c r="W27" s="17">
        <v>15500</v>
      </c>
      <c r="Y27" s="17">
        <v>0</v>
      </c>
      <c r="AA27" s="17">
        <v>0</v>
      </c>
      <c r="AC27" s="17">
        <v>53687</v>
      </c>
      <c r="AE27" s="17">
        <v>27998</v>
      </c>
      <c r="AG27" s="13">
        <f t="shared" si="0"/>
        <v>7.5148924075368023E-2</v>
      </c>
      <c r="AH27" s="13">
        <f t="shared" si="1"/>
        <v>0</v>
      </c>
    </row>
    <row r="28" spans="1:34" x14ac:dyDescent="0.3">
      <c r="A28" s="16">
        <v>2031</v>
      </c>
      <c r="C28" s="17">
        <v>2535</v>
      </c>
      <c r="E28" s="17">
        <v>0</v>
      </c>
      <c r="G28" s="17">
        <v>2535</v>
      </c>
      <c r="I28" s="17">
        <v>0</v>
      </c>
      <c r="K28" s="18">
        <v>58</v>
      </c>
      <c r="M28" s="18">
        <v>0</v>
      </c>
      <c r="O28" s="17">
        <v>147121</v>
      </c>
      <c r="Q28" s="17">
        <v>0</v>
      </c>
      <c r="S28" s="17">
        <v>11518</v>
      </c>
      <c r="U28" s="17">
        <v>87000</v>
      </c>
      <c r="W28" s="17">
        <v>15500</v>
      </c>
      <c r="Y28" s="17">
        <v>0</v>
      </c>
      <c r="AA28" s="17">
        <v>0</v>
      </c>
      <c r="AC28" s="17">
        <v>33103</v>
      </c>
      <c r="AE28" s="17">
        <v>15627</v>
      </c>
      <c r="AG28" s="13">
        <f t="shared" si="0"/>
        <v>7.828929928426262E-2</v>
      </c>
      <c r="AH28" s="13">
        <f t="shared" si="1"/>
        <v>0</v>
      </c>
    </row>
    <row r="29" spans="1:34" x14ac:dyDescent="0.3">
      <c r="A29" s="16">
        <v>2032</v>
      </c>
      <c r="C29" s="17">
        <v>2220</v>
      </c>
      <c r="E29" s="17">
        <v>0</v>
      </c>
      <c r="G29" s="17">
        <v>2220</v>
      </c>
      <c r="I29" s="17">
        <v>0</v>
      </c>
      <c r="K29" s="18">
        <v>58</v>
      </c>
      <c r="M29" s="18">
        <v>0</v>
      </c>
      <c r="O29" s="17">
        <v>128775</v>
      </c>
      <c r="Q29" s="17">
        <v>0</v>
      </c>
      <c r="S29" s="17">
        <v>10519</v>
      </c>
      <c r="U29" s="17">
        <v>87000</v>
      </c>
      <c r="W29" s="17">
        <v>0</v>
      </c>
      <c r="Y29" s="17">
        <v>0</v>
      </c>
      <c r="AA29" s="17">
        <v>0</v>
      </c>
      <c r="AC29" s="17">
        <v>31256</v>
      </c>
      <c r="AE29" s="17">
        <v>13356</v>
      </c>
      <c r="AG29" s="13">
        <f t="shared" si="0"/>
        <v>8.1685109687439333E-2</v>
      </c>
      <c r="AH29" s="13">
        <f t="shared" si="1"/>
        <v>0</v>
      </c>
    </row>
    <row r="30" spans="1:34" x14ac:dyDescent="0.3">
      <c r="A30" s="16">
        <v>2033</v>
      </c>
      <c r="C30" s="17">
        <v>1931</v>
      </c>
      <c r="E30" s="17">
        <v>0</v>
      </c>
      <c r="G30" s="17">
        <v>1931</v>
      </c>
      <c r="I30" s="17">
        <v>0</v>
      </c>
      <c r="K30" s="18">
        <v>58</v>
      </c>
      <c r="M30" s="18">
        <v>0</v>
      </c>
      <c r="O30" s="17">
        <v>112142</v>
      </c>
      <c r="Q30" s="17">
        <v>0</v>
      </c>
      <c r="S30" s="17">
        <v>9532</v>
      </c>
      <c r="U30" s="17">
        <v>87000</v>
      </c>
      <c r="W30" s="17">
        <v>0</v>
      </c>
      <c r="Y30" s="17">
        <v>0</v>
      </c>
      <c r="AA30" s="17">
        <v>0</v>
      </c>
      <c r="AC30" s="17">
        <v>15610</v>
      </c>
      <c r="AE30" s="17">
        <v>6038</v>
      </c>
      <c r="AG30" s="13">
        <f t="shared" si="0"/>
        <v>8.4999375791407317E-2</v>
      </c>
      <c r="AH30" s="13">
        <f t="shared" si="1"/>
        <v>0</v>
      </c>
    </row>
    <row r="31" spans="1:34" ht="21.9" customHeight="1" x14ac:dyDescent="0.3">
      <c r="A31" s="16">
        <v>2034</v>
      </c>
      <c r="C31" s="17">
        <v>1689</v>
      </c>
      <c r="E31" s="17">
        <v>0</v>
      </c>
      <c r="G31" s="17">
        <v>1689</v>
      </c>
      <c r="I31" s="17">
        <v>0</v>
      </c>
      <c r="K31" s="18">
        <v>58</v>
      </c>
      <c r="M31" s="18">
        <v>0</v>
      </c>
      <c r="O31" s="17">
        <v>97886</v>
      </c>
      <c r="Q31" s="17">
        <v>0</v>
      </c>
      <c r="S31" s="17">
        <v>8320</v>
      </c>
      <c r="U31" s="17">
        <v>87000</v>
      </c>
      <c r="W31" s="17">
        <v>0</v>
      </c>
      <c r="Y31" s="17">
        <v>0</v>
      </c>
      <c r="AA31" s="17">
        <v>0</v>
      </c>
      <c r="AC31" s="17">
        <v>2566</v>
      </c>
      <c r="AE31" s="17">
        <v>899</v>
      </c>
      <c r="AG31" s="13">
        <f t="shared" si="0"/>
        <v>8.4996833050691625E-2</v>
      </c>
      <c r="AH31" s="13">
        <f t="shared" si="1"/>
        <v>0</v>
      </c>
    </row>
    <row r="32" spans="1:34" x14ac:dyDescent="0.3">
      <c r="A32" s="16">
        <v>2035</v>
      </c>
      <c r="C32" s="17">
        <v>0</v>
      </c>
      <c r="E32" s="17">
        <v>0</v>
      </c>
      <c r="G32" s="17">
        <v>0</v>
      </c>
      <c r="I32" s="17">
        <v>0</v>
      </c>
      <c r="K32" s="18">
        <v>0</v>
      </c>
      <c r="M32" s="18">
        <v>0</v>
      </c>
      <c r="O32" s="17">
        <v>0</v>
      </c>
      <c r="Q32" s="17">
        <v>0</v>
      </c>
      <c r="S32" s="17">
        <v>0</v>
      </c>
      <c r="U32" s="17">
        <v>0</v>
      </c>
      <c r="W32" s="17">
        <v>0</v>
      </c>
      <c r="Y32" s="17">
        <v>93100</v>
      </c>
      <c r="AA32" s="17">
        <v>0</v>
      </c>
      <c r="AC32" s="17">
        <v>-93100</v>
      </c>
      <c r="AE32" s="17">
        <v>-29509</v>
      </c>
      <c r="AG32" s="13">
        <f t="shared" si="0"/>
        <v>0</v>
      </c>
      <c r="AH32" s="13">
        <f t="shared" si="1"/>
        <v>0</v>
      </c>
    </row>
    <row r="33" spans="1:34" x14ac:dyDescent="0.3">
      <c r="A33" s="16">
        <v>2036</v>
      </c>
      <c r="C33" s="17">
        <v>0</v>
      </c>
      <c r="E33" s="17">
        <v>0</v>
      </c>
      <c r="G33" s="17">
        <v>0</v>
      </c>
      <c r="I33" s="17">
        <v>0</v>
      </c>
      <c r="K33" s="18">
        <v>0</v>
      </c>
      <c r="M33" s="18">
        <v>0</v>
      </c>
      <c r="O33" s="17">
        <v>0</v>
      </c>
      <c r="Q33" s="17">
        <v>0</v>
      </c>
      <c r="S33" s="17">
        <v>0</v>
      </c>
      <c r="U33" s="17">
        <v>0</v>
      </c>
      <c r="W33" s="17">
        <v>0</v>
      </c>
      <c r="Y33" s="17">
        <v>0</v>
      </c>
      <c r="AA33" s="17">
        <v>0</v>
      </c>
      <c r="AC33" s="17">
        <v>0</v>
      </c>
      <c r="AE33" s="17">
        <v>0</v>
      </c>
      <c r="AG33" s="13">
        <f t="shared" si="0"/>
        <v>0</v>
      </c>
      <c r="AH33" s="13">
        <f t="shared" si="1"/>
        <v>0</v>
      </c>
    </row>
    <row r="34" spans="1:34" x14ac:dyDescent="0.3">
      <c r="A34" s="16">
        <v>2037</v>
      </c>
      <c r="C34" s="17">
        <v>0</v>
      </c>
      <c r="E34" s="17">
        <v>0</v>
      </c>
      <c r="G34" s="17">
        <v>0</v>
      </c>
      <c r="I34" s="17">
        <v>0</v>
      </c>
      <c r="K34" s="18">
        <v>0</v>
      </c>
      <c r="M34" s="18">
        <v>0</v>
      </c>
      <c r="O34" s="17">
        <v>0</v>
      </c>
      <c r="Q34" s="17">
        <v>0</v>
      </c>
      <c r="S34" s="17">
        <v>0</v>
      </c>
      <c r="U34" s="17">
        <v>0</v>
      </c>
      <c r="W34" s="17">
        <v>0</v>
      </c>
      <c r="Y34" s="17">
        <v>0</v>
      </c>
      <c r="AA34" s="17">
        <v>0</v>
      </c>
      <c r="AC34" s="17">
        <v>0</v>
      </c>
      <c r="AE34" s="17">
        <v>0</v>
      </c>
      <c r="AG34" s="13">
        <f t="shared" si="0"/>
        <v>0</v>
      </c>
      <c r="AH34" s="13">
        <f t="shared" si="1"/>
        <v>0</v>
      </c>
    </row>
    <row r="35" spans="1:34" x14ac:dyDescent="0.3">
      <c r="A35" s="16">
        <v>2038</v>
      </c>
      <c r="C35" s="17">
        <v>0</v>
      </c>
      <c r="E35" s="17">
        <v>0</v>
      </c>
      <c r="G35" s="17">
        <v>0</v>
      </c>
      <c r="I35" s="17">
        <v>0</v>
      </c>
      <c r="K35" s="18">
        <v>0</v>
      </c>
      <c r="M35" s="18">
        <v>0</v>
      </c>
      <c r="O35" s="17">
        <v>0</v>
      </c>
      <c r="Q35" s="17">
        <v>0</v>
      </c>
      <c r="S35" s="17">
        <v>0</v>
      </c>
      <c r="U35" s="17">
        <v>0</v>
      </c>
      <c r="W35" s="17">
        <v>0</v>
      </c>
      <c r="Y35" s="17">
        <v>0</v>
      </c>
      <c r="AA35" s="17">
        <v>0</v>
      </c>
      <c r="AC35" s="17">
        <v>0</v>
      </c>
      <c r="AE35" s="17">
        <v>0</v>
      </c>
      <c r="AG35" s="13">
        <f t="shared" si="0"/>
        <v>0</v>
      </c>
      <c r="AH35" s="13">
        <f t="shared" si="1"/>
        <v>0</v>
      </c>
    </row>
    <row r="36" spans="1:34" ht="21.9" customHeight="1" x14ac:dyDescent="0.3">
      <c r="A36" s="16">
        <v>2039</v>
      </c>
      <c r="C36" s="17">
        <v>0</v>
      </c>
      <c r="E36" s="17">
        <v>0</v>
      </c>
      <c r="G36" s="17">
        <v>0</v>
      </c>
      <c r="I36" s="17">
        <v>0</v>
      </c>
      <c r="K36" s="18">
        <v>0</v>
      </c>
      <c r="M36" s="18">
        <v>0</v>
      </c>
      <c r="O36" s="17">
        <v>0</v>
      </c>
      <c r="Q36" s="17">
        <v>0</v>
      </c>
      <c r="S36" s="17">
        <v>0</v>
      </c>
      <c r="U36" s="17">
        <v>0</v>
      </c>
      <c r="W36" s="17">
        <v>0</v>
      </c>
      <c r="Y36" s="17">
        <v>0</v>
      </c>
      <c r="AA36" s="17">
        <v>0</v>
      </c>
      <c r="AC36" s="17">
        <v>0</v>
      </c>
      <c r="AE36" s="17">
        <v>0</v>
      </c>
      <c r="AG36" s="13">
        <f t="shared" si="0"/>
        <v>0</v>
      </c>
      <c r="AH36" s="13">
        <f t="shared" si="1"/>
        <v>0</v>
      </c>
    </row>
    <row r="37" spans="1:34" x14ac:dyDescent="0.3">
      <c r="A37" s="16">
        <v>2040</v>
      </c>
      <c r="C37" s="17">
        <v>0</v>
      </c>
      <c r="E37" s="17">
        <v>0</v>
      </c>
      <c r="G37" s="17">
        <v>0</v>
      </c>
      <c r="I37" s="17">
        <v>0</v>
      </c>
      <c r="K37" s="18">
        <v>0</v>
      </c>
      <c r="M37" s="18">
        <v>0</v>
      </c>
      <c r="O37" s="17">
        <v>0</v>
      </c>
      <c r="Q37" s="17">
        <v>0</v>
      </c>
      <c r="S37" s="17">
        <v>0</v>
      </c>
      <c r="U37" s="17">
        <v>0</v>
      </c>
      <c r="W37" s="17">
        <v>0</v>
      </c>
      <c r="Y37" s="17">
        <v>0</v>
      </c>
      <c r="AA37" s="17">
        <v>0</v>
      </c>
      <c r="AC37" s="17">
        <v>0</v>
      </c>
      <c r="AE37" s="17">
        <v>0</v>
      </c>
      <c r="AG37" s="13">
        <f t="shared" si="0"/>
        <v>0</v>
      </c>
      <c r="AH37" s="13">
        <f t="shared" si="1"/>
        <v>0</v>
      </c>
    </row>
    <row r="38" spans="1:34" x14ac:dyDescent="0.3">
      <c r="A38" s="16">
        <v>2041</v>
      </c>
      <c r="C38" s="17">
        <v>0</v>
      </c>
      <c r="E38" s="17">
        <v>0</v>
      </c>
      <c r="G38" s="17">
        <v>0</v>
      </c>
      <c r="I38" s="17">
        <v>0</v>
      </c>
      <c r="K38" s="18">
        <v>0</v>
      </c>
      <c r="M38" s="18">
        <v>0</v>
      </c>
      <c r="O38" s="17">
        <v>0</v>
      </c>
      <c r="Q38" s="17">
        <v>0</v>
      </c>
      <c r="S38" s="17">
        <v>0</v>
      </c>
      <c r="U38" s="17">
        <v>0</v>
      </c>
      <c r="W38" s="17">
        <v>0</v>
      </c>
      <c r="Y38" s="17">
        <v>0</v>
      </c>
      <c r="AA38" s="17">
        <v>0</v>
      </c>
      <c r="AC38" s="17">
        <v>0</v>
      </c>
      <c r="AE38" s="17">
        <v>0</v>
      </c>
      <c r="AG38" s="13">
        <f t="shared" si="0"/>
        <v>0</v>
      </c>
      <c r="AH38" s="13">
        <f t="shared" si="1"/>
        <v>0</v>
      </c>
    </row>
    <row r="39" spans="1:34" x14ac:dyDescent="0.3">
      <c r="A39" s="16">
        <v>2042</v>
      </c>
      <c r="C39" s="17">
        <v>0</v>
      </c>
      <c r="E39" s="17">
        <v>0</v>
      </c>
      <c r="G39" s="17">
        <v>0</v>
      </c>
      <c r="I39" s="17">
        <v>0</v>
      </c>
      <c r="K39" s="18">
        <v>0</v>
      </c>
      <c r="M39" s="18">
        <v>0</v>
      </c>
      <c r="O39" s="17">
        <v>0</v>
      </c>
      <c r="Q39" s="17">
        <v>0</v>
      </c>
      <c r="S39" s="17">
        <v>0</v>
      </c>
      <c r="U39" s="17">
        <v>0</v>
      </c>
      <c r="W39" s="17">
        <v>0</v>
      </c>
      <c r="Y39" s="17">
        <v>0</v>
      </c>
      <c r="AA39" s="17">
        <v>0</v>
      </c>
      <c r="AC39" s="17">
        <v>0</v>
      </c>
      <c r="AE39" s="17">
        <v>0</v>
      </c>
      <c r="AG39" s="13">
        <f t="shared" si="0"/>
        <v>0</v>
      </c>
      <c r="AH39" s="13">
        <f t="shared" si="1"/>
        <v>0</v>
      </c>
    </row>
    <row r="40" spans="1:34" x14ac:dyDescent="0.3">
      <c r="A40" s="16">
        <v>2043</v>
      </c>
      <c r="C40" s="17">
        <v>0</v>
      </c>
      <c r="E40" s="17">
        <v>0</v>
      </c>
      <c r="G40" s="17">
        <v>0</v>
      </c>
      <c r="I40" s="17">
        <v>0</v>
      </c>
      <c r="K40" s="18">
        <v>0</v>
      </c>
      <c r="M40" s="18">
        <v>0</v>
      </c>
      <c r="O40" s="17">
        <v>0</v>
      </c>
      <c r="Q40" s="17">
        <v>0</v>
      </c>
      <c r="S40" s="17">
        <v>0</v>
      </c>
      <c r="U40" s="17">
        <v>0</v>
      </c>
      <c r="W40" s="17">
        <v>0</v>
      </c>
      <c r="Y40" s="17">
        <v>0</v>
      </c>
      <c r="AA40" s="17">
        <v>0</v>
      </c>
      <c r="AC40" s="17">
        <v>0</v>
      </c>
      <c r="AE40" s="17">
        <v>0</v>
      </c>
      <c r="AG40" s="13">
        <f t="shared" si="0"/>
        <v>0</v>
      </c>
      <c r="AH40" s="13">
        <f t="shared" si="1"/>
        <v>0</v>
      </c>
    </row>
    <row r="41" spans="1:34" ht="21.9" customHeight="1" x14ac:dyDescent="0.3">
      <c r="A41" s="16">
        <v>2044</v>
      </c>
      <c r="C41" s="17">
        <v>0</v>
      </c>
      <c r="E41" s="17">
        <v>0</v>
      </c>
      <c r="G41" s="17">
        <v>0</v>
      </c>
      <c r="I41" s="17">
        <v>0</v>
      </c>
      <c r="K41" s="18">
        <v>0</v>
      </c>
      <c r="M41" s="18">
        <v>0</v>
      </c>
      <c r="O41" s="17">
        <v>0</v>
      </c>
      <c r="Q41" s="17">
        <v>0</v>
      </c>
      <c r="S41" s="17">
        <v>0</v>
      </c>
      <c r="U41" s="17">
        <v>0</v>
      </c>
      <c r="W41" s="17">
        <v>0</v>
      </c>
      <c r="Y41" s="17">
        <v>0</v>
      </c>
      <c r="AA41" s="17">
        <v>0</v>
      </c>
      <c r="AC41" s="17">
        <v>0</v>
      </c>
      <c r="AE41" s="17">
        <v>0</v>
      </c>
      <c r="AG41" s="13">
        <f t="shared" si="0"/>
        <v>0</v>
      </c>
      <c r="AH41" s="13">
        <f t="shared" si="1"/>
        <v>0</v>
      </c>
    </row>
    <row r="42" spans="1:34" x14ac:dyDescent="0.3">
      <c r="A42" s="16">
        <v>2045</v>
      </c>
      <c r="C42" s="17">
        <v>0</v>
      </c>
      <c r="E42" s="17">
        <v>0</v>
      </c>
      <c r="G42" s="17">
        <v>0</v>
      </c>
      <c r="I42" s="17">
        <v>0</v>
      </c>
      <c r="K42" s="18">
        <v>0</v>
      </c>
      <c r="M42" s="18">
        <v>0</v>
      </c>
      <c r="O42" s="17">
        <v>0</v>
      </c>
      <c r="Q42" s="17">
        <v>0</v>
      </c>
      <c r="S42" s="17">
        <v>0</v>
      </c>
      <c r="U42" s="17">
        <v>0</v>
      </c>
      <c r="W42" s="17">
        <v>0</v>
      </c>
      <c r="Y42" s="17">
        <v>0</v>
      </c>
      <c r="AA42" s="17">
        <v>0</v>
      </c>
      <c r="AC42" s="17">
        <v>0</v>
      </c>
      <c r="AE42" s="17">
        <v>0</v>
      </c>
      <c r="AG42" s="13">
        <f t="shared" si="0"/>
        <v>0</v>
      </c>
      <c r="AH42" s="13">
        <f t="shared" si="1"/>
        <v>0</v>
      </c>
    </row>
    <row r="43" spans="1:34" x14ac:dyDescent="0.3">
      <c r="A43" s="16">
        <v>2046</v>
      </c>
      <c r="C43" s="17">
        <v>0</v>
      </c>
      <c r="E43" s="17">
        <v>0</v>
      </c>
      <c r="G43" s="17">
        <v>0</v>
      </c>
      <c r="I43" s="17">
        <v>0</v>
      </c>
      <c r="K43" s="18">
        <v>0</v>
      </c>
      <c r="M43" s="18">
        <v>0</v>
      </c>
      <c r="O43" s="17">
        <v>0</v>
      </c>
      <c r="Q43" s="17">
        <v>0</v>
      </c>
      <c r="S43" s="17">
        <v>0</v>
      </c>
      <c r="U43" s="17">
        <v>0</v>
      </c>
      <c r="W43" s="17">
        <v>0</v>
      </c>
      <c r="Y43" s="17">
        <v>0</v>
      </c>
      <c r="AA43" s="17">
        <v>0</v>
      </c>
      <c r="AC43" s="17">
        <v>0</v>
      </c>
      <c r="AE43" s="17">
        <v>0</v>
      </c>
      <c r="AG43" s="13">
        <f t="shared" si="0"/>
        <v>0</v>
      </c>
      <c r="AH43" s="13">
        <f t="shared" si="1"/>
        <v>0</v>
      </c>
    </row>
    <row r="44" spans="1:34" x14ac:dyDescent="0.3">
      <c r="A44" s="16">
        <v>2047</v>
      </c>
      <c r="C44" s="17">
        <v>0</v>
      </c>
      <c r="E44" s="17">
        <v>0</v>
      </c>
      <c r="G44" s="17">
        <v>0</v>
      </c>
      <c r="I44" s="17">
        <v>0</v>
      </c>
      <c r="K44" s="18">
        <v>0</v>
      </c>
      <c r="M44" s="18">
        <v>0</v>
      </c>
      <c r="O44" s="17">
        <v>0</v>
      </c>
      <c r="Q44" s="17">
        <v>0</v>
      </c>
      <c r="S44" s="17">
        <v>0</v>
      </c>
      <c r="U44" s="17">
        <v>0</v>
      </c>
      <c r="W44" s="17">
        <v>0</v>
      </c>
      <c r="Y44" s="17">
        <v>0</v>
      </c>
      <c r="AA44" s="17">
        <v>0</v>
      </c>
      <c r="AC44" s="17">
        <v>0</v>
      </c>
      <c r="AE44" s="17">
        <v>0</v>
      </c>
      <c r="AG44" s="13">
        <f t="shared" si="0"/>
        <v>0</v>
      </c>
      <c r="AH44" s="13">
        <f t="shared" si="1"/>
        <v>0</v>
      </c>
    </row>
    <row r="45" spans="1:34" x14ac:dyDescent="0.3">
      <c r="A45" s="16">
        <v>2048</v>
      </c>
      <c r="C45" s="17">
        <v>0</v>
      </c>
      <c r="E45" s="17">
        <v>0</v>
      </c>
      <c r="G45" s="17">
        <v>0</v>
      </c>
      <c r="I45" s="17">
        <v>0</v>
      </c>
      <c r="K45" s="18">
        <v>0</v>
      </c>
      <c r="M45" s="18">
        <v>0</v>
      </c>
      <c r="O45" s="17">
        <v>0</v>
      </c>
      <c r="Q45" s="17">
        <v>0</v>
      </c>
      <c r="S45" s="17">
        <v>0</v>
      </c>
      <c r="U45" s="17">
        <v>0</v>
      </c>
      <c r="W45" s="17">
        <v>0</v>
      </c>
      <c r="Y45" s="17">
        <v>0</v>
      </c>
      <c r="AA45" s="17">
        <v>0</v>
      </c>
      <c r="AC45" s="17">
        <v>0</v>
      </c>
      <c r="AE45" s="17">
        <v>0</v>
      </c>
      <c r="AG45" s="13">
        <f t="shared" si="0"/>
        <v>0</v>
      </c>
      <c r="AH45" s="13">
        <f t="shared" si="1"/>
        <v>0</v>
      </c>
    </row>
    <row r="46" spans="1:34" ht="21.9" customHeight="1" x14ac:dyDescent="0.3">
      <c r="A46" s="16">
        <v>2049</v>
      </c>
      <c r="C46" s="17">
        <v>0</v>
      </c>
      <c r="E46" s="17">
        <v>0</v>
      </c>
      <c r="G46" s="17">
        <v>0</v>
      </c>
      <c r="I46" s="17">
        <v>0</v>
      </c>
      <c r="K46" s="18">
        <v>0</v>
      </c>
      <c r="M46" s="18">
        <v>0</v>
      </c>
      <c r="O46" s="17">
        <v>0</v>
      </c>
      <c r="Q46" s="17">
        <v>0</v>
      </c>
      <c r="S46" s="17">
        <v>0</v>
      </c>
      <c r="U46" s="17">
        <v>0</v>
      </c>
      <c r="W46" s="17">
        <v>0</v>
      </c>
      <c r="Y46" s="17">
        <v>0</v>
      </c>
      <c r="AA46" s="17">
        <v>0</v>
      </c>
      <c r="AC46" s="17">
        <v>0</v>
      </c>
      <c r="AE46" s="17">
        <v>0</v>
      </c>
      <c r="AG46" s="13">
        <f t="shared" si="0"/>
        <v>0</v>
      </c>
      <c r="AH46" s="13">
        <f t="shared" si="1"/>
        <v>0</v>
      </c>
    </row>
    <row r="47" spans="1:34" x14ac:dyDescent="0.3">
      <c r="A47" s="16">
        <v>2050</v>
      </c>
      <c r="C47" s="17">
        <v>0</v>
      </c>
      <c r="E47" s="17">
        <v>0</v>
      </c>
      <c r="G47" s="17">
        <v>0</v>
      </c>
      <c r="I47" s="17">
        <v>0</v>
      </c>
      <c r="K47" s="18">
        <v>0</v>
      </c>
      <c r="M47" s="18">
        <v>0</v>
      </c>
      <c r="O47" s="17">
        <v>0</v>
      </c>
      <c r="Q47" s="17">
        <v>0</v>
      </c>
      <c r="S47" s="17">
        <v>0</v>
      </c>
      <c r="U47" s="17">
        <v>0</v>
      </c>
      <c r="W47" s="17">
        <v>0</v>
      </c>
      <c r="Y47" s="17">
        <v>0</v>
      </c>
      <c r="AA47" s="17">
        <v>0</v>
      </c>
      <c r="AC47" s="17">
        <v>0</v>
      </c>
      <c r="AE47" s="17">
        <v>0</v>
      </c>
      <c r="AG47" s="13">
        <f t="shared" si="0"/>
        <v>0</v>
      </c>
      <c r="AH47" s="13">
        <f t="shared" si="1"/>
        <v>0</v>
      </c>
    </row>
    <row r="48" spans="1:34" x14ac:dyDescent="0.3">
      <c r="A48" s="16">
        <v>2051</v>
      </c>
      <c r="C48" s="17">
        <v>0</v>
      </c>
      <c r="E48" s="17">
        <v>0</v>
      </c>
      <c r="G48" s="17">
        <v>0</v>
      </c>
      <c r="I48" s="17">
        <v>0</v>
      </c>
      <c r="K48" s="18">
        <v>0</v>
      </c>
      <c r="M48" s="18">
        <v>0</v>
      </c>
      <c r="O48" s="17">
        <v>0</v>
      </c>
      <c r="Q48" s="17">
        <v>0</v>
      </c>
      <c r="S48" s="17">
        <v>0</v>
      </c>
      <c r="U48" s="17">
        <v>0</v>
      </c>
      <c r="W48" s="17">
        <v>0</v>
      </c>
      <c r="Y48" s="17">
        <v>0</v>
      </c>
      <c r="AA48" s="17">
        <v>0</v>
      </c>
      <c r="AC48" s="17">
        <v>0</v>
      </c>
      <c r="AE48" s="17">
        <v>0</v>
      </c>
      <c r="AG48" s="13">
        <f t="shared" si="0"/>
        <v>0</v>
      </c>
      <c r="AH48" s="13">
        <f t="shared" si="1"/>
        <v>0</v>
      </c>
    </row>
    <row r="49" spans="1:34" x14ac:dyDescent="0.3">
      <c r="A49" s="16">
        <v>2052</v>
      </c>
      <c r="C49" s="17">
        <v>0</v>
      </c>
      <c r="E49" s="17">
        <v>0</v>
      </c>
      <c r="G49" s="17">
        <v>0</v>
      </c>
      <c r="I49" s="17">
        <v>0</v>
      </c>
      <c r="K49" s="18">
        <v>0</v>
      </c>
      <c r="M49" s="18">
        <v>0</v>
      </c>
      <c r="O49" s="17">
        <v>0</v>
      </c>
      <c r="Q49" s="17">
        <v>0</v>
      </c>
      <c r="S49" s="17">
        <v>0</v>
      </c>
      <c r="U49" s="17">
        <v>0</v>
      </c>
      <c r="W49" s="17">
        <v>0</v>
      </c>
      <c r="Y49" s="17">
        <v>0</v>
      </c>
      <c r="AA49" s="17">
        <v>0</v>
      </c>
      <c r="AC49" s="17">
        <v>0</v>
      </c>
      <c r="AE49" s="17">
        <v>0</v>
      </c>
      <c r="AG49" s="13">
        <f t="shared" si="0"/>
        <v>0</v>
      </c>
      <c r="AH49" s="13">
        <f t="shared" si="1"/>
        <v>0</v>
      </c>
    </row>
    <row r="50" spans="1:34" x14ac:dyDescent="0.3">
      <c r="A50" s="16">
        <v>2053</v>
      </c>
      <c r="C50" s="17">
        <v>0</v>
      </c>
      <c r="E50" s="17">
        <v>0</v>
      </c>
      <c r="G50" s="17">
        <v>0</v>
      </c>
      <c r="I50" s="17">
        <v>0</v>
      </c>
      <c r="K50" s="18">
        <v>0</v>
      </c>
      <c r="M50" s="18">
        <v>0</v>
      </c>
      <c r="O50" s="17">
        <v>0</v>
      </c>
      <c r="Q50" s="17">
        <v>0</v>
      </c>
      <c r="S50" s="17">
        <v>0</v>
      </c>
      <c r="U50" s="17">
        <v>0</v>
      </c>
      <c r="W50" s="17">
        <v>0</v>
      </c>
      <c r="Y50" s="17">
        <v>0</v>
      </c>
      <c r="AA50" s="17">
        <v>0</v>
      </c>
      <c r="AC50" s="17">
        <v>0</v>
      </c>
      <c r="AE50" s="17">
        <v>0</v>
      </c>
      <c r="AG50" s="13">
        <f t="shared" si="0"/>
        <v>0</v>
      </c>
      <c r="AH50" s="13">
        <f t="shared" si="1"/>
        <v>0</v>
      </c>
    </row>
    <row r="51" spans="1:34" ht="21.9" customHeight="1" x14ac:dyDescent="0.3">
      <c r="A51" s="16">
        <v>2054</v>
      </c>
      <c r="C51" s="17">
        <v>0</v>
      </c>
      <c r="E51" s="17">
        <v>0</v>
      </c>
      <c r="G51" s="17">
        <v>0</v>
      </c>
      <c r="I51" s="17">
        <v>0</v>
      </c>
      <c r="K51" s="18">
        <v>0</v>
      </c>
      <c r="M51" s="18">
        <v>0</v>
      </c>
      <c r="O51" s="17">
        <v>0</v>
      </c>
      <c r="Q51" s="17">
        <v>0</v>
      </c>
      <c r="S51" s="17">
        <v>0</v>
      </c>
      <c r="U51" s="17">
        <v>0</v>
      </c>
      <c r="W51" s="17">
        <v>0</v>
      </c>
      <c r="Y51" s="17">
        <v>0</v>
      </c>
      <c r="AA51" s="17">
        <v>0</v>
      </c>
      <c r="AC51" s="17">
        <v>0</v>
      </c>
      <c r="AE51" s="17">
        <v>0</v>
      </c>
      <c r="AG51" s="13">
        <f t="shared" si="0"/>
        <v>0</v>
      </c>
      <c r="AH51" s="13">
        <f t="shared" si="1"/>
        <v>0</v>
      </c>
    </row>
    <row r="52" spans="1:34" x14ac:dyDescent="0.3">
      <c r="A52" s="16">
        <v>2055</v>
      </c>
      <c r="C52" s="17">
        <v>0</v>
      </c>
      <c r="E52" s="17">
        <v>0</v>
      </c>
      <c r="G52" s="17">
        <v>0</v>
      </c>
      <c r="I52" s="17">
        <v>0</v>
      </c>
      <c r="K52" s="18">
        <v>0</v>
      </c>
      <c r="M52" s="18">
        <v>0</v>
      </c>
      <c r="O52" s="17">
        <v>0</v>
      </c>
      <c r="Q52" s="17">
        <v>0</v>
      </c>
      <c r="S52" s="17">
        <v>0</v>
      </c>
      <c r="U52" s="17">
        <v>0</v>
      </c>
      <c r="W52" s="17">
        <v>0</v>
      </c>
      <c r="Y52" s="17">
        <v>0</v>
      </c>
      <c r="AA52" s="17">
        <v>0</v>
      </c>
      <c r="AC52" s="17">
        <v>0</v>
      </c>
      <c r="AE52" s="17">
        <v>0</v>
      </c>
      <c r="AG52" s="13">
        <f t="shared" si="0"/>
        <v>0</v>
      </c>
      <c r="AH52" s="13">
        <f t="shared" si="1"/>
        <v>0</v>
      </c>
    </row>
    <row r="53" spans="1:34" x14ac:dyDescent="0.3">
      <c r="A53" s="16">
        <v>2056</v>
      </c>
      <c r="C53" s="17">
        <v>0</v>
      </c>
      <c r="E53" s="17">
        <v>0</v>
      </c>
      <c r="G53" s="17">
        <v>0</v>
      </c>
      <c r="I53" s="17">
        <v>0</v>
      </c>
      <c r="K53" s="18">
        <v>0</v>
      </c>
      <c r="M53" s="18">
        <v>0</v>
      </c>
      <c r="O53" s="17">
        <v>0</v>
      </c>
      <c r="Q53" s="17">
        <v>0</v>
      </c>
      <c r="S53" s="17">
        <v>0</v>
      </c>
      <c r="U53" s="17">
        <v>0</v>
      </c>
      <c r="W53" s="17">
        <v>0</v>
      </c>
      <c r="Y53" s="17">
        <v>0</v>
      </c>
      <c r="AA53" s="17">
        <v>0</v>
      </c>
      <c r="AC53" s="17">
        <v>0</v>
      </c>
      <c r="AE53" s="17">
        <v>0</v>
      </c>
      <c r="AG53" s="13">
        <f t="shared" si="0"/>
        <v>0</v>
      </c>
      <c r="AH53" s="13">
        <f t="shared" si="1"/>
        <v>0</v>
      </c>
    </row>
    <row r="54" spans="1:34" x14ac:dyDescent="0.3">
      <c r="A54" s="16">
        <v>2057</v>
      </c>
      <c r="C54" s="17">
        <v>0</v>
      </c>
      <c r="E54" s="17">
        <v>0</v>
      </c>
      <c r="G54" s="17">
        <v>0</v>
      </c>
      <c r="I54" s="17">
        <v>0</v>
      </c>
      <c r="K54" s="18">
        <v>0</v>
      </c>
      <c r="M54" s="18">
        <v>0</v>
      </c>
      <c r="O54" s="17">
        <v>0</v>
      </c>
      <c r="Q54" s="17">
        <v>0</v>
      </c>
      <c r="S54" s="17">
        <v>0</v>
      </c>
      <c r="U54" s="17">
        <v>0</v>
      </c>
      <c r="W54" s="17">
        <v>0</v>
      </c>
      <c r="Y54" s="17">
        <v>0</v>
      </c>
      <c r="AA54" s="17">
        <v>0</v>
      </c>
      <c r="AC54" s="17">
        <v>0</v>
      </c>
      <c r="AE54" s="17">
        <v>0</v>
      </c>
      <c r="AG54" s="13">
        <f t="shared" si="0"/>
        <v>0</v>
      </c>
      <c r="AH54" s="13">
        <f t="shared" si="1"/>
        <v>0</v>
      </c>
    </row>
    <row r="55" spans="1:34" x14ac:dyDescent="0.3">
      <c r="A55" s="16">
        <v>2058</v>
      </c>
      <c r="C55" s="17">
        <v>0</v>
      </c>
      <c r="E55" s="17">
        <v>0</v>
      </c>
      <c r="G55" s="17">
        <v>0</v>
      </c>
      <c r="I55" s="17">
        <v>0</v>
      </c>
      <c r="K55" s="18">
        <v>0</v>
      </c>
      <c r="M55" s="18">
        <v>0</v>
      </c>
      <c r="O55" s="17">
        <v>0</v>
      </c>
      <c r="Q55" s="17">
        <v>0</v>
      </c>
      <c r="S55" s="17">
        <v>0</v>
      </c>
      <c r="U55" s="17">
        <v>0</v>
      </c>
      <c r="W55" s="17">
        <v>0</v>
      </c>
      <c r="Y55" s="17">
        <v>0</v>
      </c>
      <c r="AA55" s="17">
        <v>0</v>
      </c>
      <c r="AC55" s="17">
        <v>0</v>
      </c>
      <c r="AE55" s="17">
        <v>0</v>
      </c>
      <c r="AG55" s="13">
        <f t="shared" si="0"/>
        <v>0</v>
      </c>
      <c r="AH55" s="13">
        <f t="shared" si="1"/>
        <v>0</v>
      </c>
    </row>
    <row r="56" spans="1:34" ht="21.9" customHeight="1" x14ac:dyDescent="0.3">
      <c r="A56" s="16">
        <v>2059</v>
      </c>
      <c r="C56" s="17">
        <v>0</v>
      </c>
      <c r="E56" s="17">
        <v>0</v>
      </c>
      <c r="G56" s="17">
        <v>0</v>
      </c>
      <c r="I56" s="17">
        <v>0</v>
      </c>
      <c r="K56" s="18">
        <v>0</v>
      </c>
      <c r="M56" s="18">
        <v>0</v>
      </c>
      <c r="O56" s="17">
        <v>0</v>
      </c>
      <c r="Q56" s="17">
        <v>0</v>
      </c>
      <c r="S56" s="17">
        <v>0</v>
      </c>
      <c r="U56" s="17">
        <v>0</v>
      </c>
      <c r="W56" s="17">
        <v>0</v>
      </c>
      <c r="Y56" s="17">
        <v>0</v>
      </c>
      <c r="AA56" s="17">
        <v>0</v>
      </c>
      <c r="AC56" s="17">
        <v>0</v>
      </c>
      <c r="AE56" s="17">
        <v>0</v>
      </c>
      <c r="AG56" s="13">
        <f t="shared" si="0"/>
        <v>0</v>
      </c>
      <c r="AH56" s="13">
        <f t="shared" si="1"/>
        <v>0</v>
      </c>
    </row>
    <row r="57" spans="1:34" x14ac:dyDescent="0.3">
      <c r="A57" s="16">
        <v>2060</v>
      </c>
      <c r="C57" s="19">
        <v>0</v>
      </c>
      <c r="E57" s="19">
        <v>0</v>
      </c>
      <c r="G57" s="19">
        <v>0</v>
      </c>
      <c r="I57" s="19">
        <v>0</v>
      </c>
      <c r="K57" s="18">
        <v>0</v>
      </c>
      <c r="M57" s="18">
        <v>0</v>
      </c>
      <c r="O57" s="19">
        <v>0</v>
      </c>
      <c r="Q57" s="19">
        <v>0</v>
      </c>
      <c r="S57" s="19">
        <v>0</v>
      </c>
      <c r="U57" s="19">
        <v>0</v>
      </c>
      <c r="W57" s="19">
        <v>0</v>
      </c>
      <c r="Y57" s="19">
        <v>0</v>
      </c>
      <c r="AA57" s="19">
        <v>0</v>
      </c>
      <c r="AC57" s="19">
        <v>0</v>
      </c>
      <c r="AE57" s="19">
        <v>0</v>
      </c>
      <c r="AG57" s="13">
        <f t="shared" si="0"/>
        <v>0</v>
      </c>
      <c r="AH57" s="13">
        <f t="shared" si="1"/>
        <v>0</v>
      </c>
    </row>
    <row r="58" spans="1:34" x14ac:dyDescent="0.3">
      <c r="AG58" s="13"/>
      <c r="AH58" s="13"/>
    </row>
    <row r="59" spans="1:34" x14ac:dyDescent="0.3">
      <c r="A59" s="231" t="s">
        <v>2</v>
      </c>
      <c r="C59" s="232">
        <v>39373</v>
      </c>
      <c r="E59" s="232">
        <v>0</v>
      </c>
      <c r="G59" s="232">
        <v>39373</v>
      </c>
      <c r="I59" s="232">
        <v>0</v>
      </c>
      <c r="O59" s="232">
        <v>2283674</v>
      </c>
      <c r="Q59" s="232">
        <v>0</v>
      </c>
      <c r="S59" s="232">
        <v>162635</v>
      </c>
      <c r="U59" s="232">
        <v>957000</v>
      </c>
      <c r="W59" s="232">
        <v>173500</v>
      </c>
      <c r="Y59" s="232">
        <v>93100</v>
      </c>
      <c r="AA59" s="232">
        <v>0</v>
      </c>
      <c r="AC59" s="232">
        <v>897439</v>
      </c>
      <c r="AE59" s="232">
        <v>704920</v>
      </c>
      <c r="AG59" s="13"/>
      <c r="AH59" s="13"/>
    </row>
    <row r="60" spans="1:34" x14ac:dyDescent="0.3">
      <c r="AG60" s="13"/>
      <c r="AH60" s="13"/>
    </row>
    <row r="61" spans="1:34" ht="21.9" customHeight="1" x14ac:dyDescent="0.3">
      <c r="A61" t="s">
        <v>47</v>
      </c>
      <c r="AC61" s="228" t="s">
        <v>729</v>
      </c>
      <c r="AD61" s="15"/>
      <c r="AE61" s="15"/>
      <c r="AG61" s="13"/>
      <c r="AH61" s="13"/>
    </row>
    <row r="62" spans="1:34" x14ac:dyDescent="0.3">
      <c r="A62" t="s">
        <v>79</v>
      </c>
      <c r="AC62" s="20" t="s">
        <v>48</v>
      </c>
      <c r="AE62" s="17">
        <v>795002</v>
      </c>
      <c r="AG62" s="13"/>
      <c r="AH62" s="13"/>
    </row>
    <row r="63" spans="1:34" x14ac:dyDescent="0.3">
      <c r="A63" t="s">
        <v>80</v>
      </c>
      <c r="AC63" s="20" t="s">
        <v>49</v>
      </c>
      <c r="AE63" s="17">
        <v>627390</v>
      </c>
      <c r="AG63" s="13"/>
      <c r="AH63" s="13"/>
    </row>
    <row r="64" spans="1:34" x14ac:dyDescent="0.3">
      <c r="A64" t="s">
        <v>81</v>
      </c>
      <c r="AC64" s="20" t="s">
        <v>50</v>
      </c>
      <c r="AE64" s="17">
        <v>561307</v>
      </c>
      <c r="AG64" s="13"/>
      <c r="AH64" s="13"/>
    </row>
    <row r="65" spans="1:1" ht="8.1" customHeight="1" x14ac:dyDescent="0.3">
      <c r="A65" t="s">
        <v>721</v>
      </c>
    </row>
    <row r="66" spans="1:1" x14ac:dyDescent="0.3">
      <c r="A66" t="s">
        <v>726</v>
      </c>
    </row>
    <row r="67" spans="1:1" x14ac:dyDescent="0.3">
      <c r="A67" s="233"/>
    </row>
  </sheetData>
  <printOptions horizontalCentered="1"/>
  <pageMargins left="0.5" right="0.3" top="0.75" bottom="0.75" header="0.5" footer="0.5"/>
  <pageSetup paperSize="154" scale="4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0FC6D-2DAA-493E-909C-1AE1BB8E8E2C}">
  <sheetPr>
    <tabColor rgb="FF7030A0"/>
    <pageSetUpPr fitToPage="1"/>
  </sheetPr>
  <dimension ref="A1:AH67"/>
  <sheetViews>
    <sheetView showGridLines="0" zoomScaleNormal="100" zoomScaleSheetLayoutView="100" workbookViewId="0">
      <selection activeCell="AH1" sqref="A1:AH1048576"/>
    </sheetView>
  </sheetViews>
  <sheetFormatPr defaultRowHeight="14.4" x14ac:dyDescent="0.3"/>
  <cols>
    <col min="1" max="1" width="6" bestFit="1" customWidth="1"/>
    <col min="2" max="2" width="1.6640625" customWidth="1"/>
    <col min="3" max="3" width="9.5546875" customWidth="1"/>
    <col min="4" max="4" width="1.6640625" customWidth="1"/>
    <col min="5" max="5" width="9.5546875" customWidth="1"/>
    <col min="6" max="6" width="1.6640625" customWidth="1"/>
    <col min="7" max="7" width="9.5546875" customWidth="1"/>
    <col min="8" max="8" width="1.6640625" customWidth="1"/>
    <col min="9" max="9" width="9.5546875" customWidth="1"/>
    <col min="10" max="10" width="1.6640625" customWidth="1"/>
    <col min="11" max="11" width="13.33203125" customWidth="1"/>
    <col min="12" max="12" width="1.6640625" customWidth="1"/>
    <col min="13" max="13" width="13.33203125" bestFit="1" customWidth="1"/>
    <col min="14" max="14" width="1.6640625" customWidth="1"/>
    <col min="15" max="15" width="14.5546875" customWidth="1"/>
    <col min="16" max="16" width="1.6640625" customWidth="1"/>
    <col min="17" max="17" width="14.5546875" hidden="1" customWidth="1"/>
    <col min="18" max="18" width="1.6640625" hidden="1" customWidth="1"/>
    <col min="19" max="19" width="14.5546875" customWidth="1"/>
    <col min="20" max="20" width="1.6640625" customWidth="1"/>
    <col min="21" max="21" width="14.5546875" customWidth="1"/>
    <col min="22" max="22" width="1.6640625" customWidth="1"/>
    <col min="23" max="23" width="14.5546875" customWidth="1"/>
    <col min="24" max="24" width="1.6640625" customWidth="1"/>
    <col min="25" max="25" width="14.5546875" bestFit="1" customWidth="1"/>
    <col min="26" max="26" width="1.6640625" customWidth="1"/>
    <col min="27" max="27" width="14.5546875" customWidth="1"/>
    <col min="28" max="28" width="1.6640625" customWidth="1"/>
    <col min="29" max="29" width="14.5546875" customWidth="1"/>
    <col min="30" max="30" width="1.6640625" customWidth="1"/>
    <col min="31" max="31" width="14.5546875" customWidth="1"/>
  </cols>
  <sheetData>
    <row r="1" spans="1:34" x14ac:dyDescent="0.3">
      <c r="A1" s="226" t="s">
        <v>59</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row>
    <row r="2" spans="1:34" x14ac:dyDescent="0.3">
      <c r="A2" s="226" t="s">
        <v>64</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spans="1:34" x14ac:dyDescent="0.3">
      <c r="A3" s="226" t="s">
        <v>24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row>
    <row r="4" spans="1:34" x14ac:dyDescent="0.3">
      <c r="A4" s="226" t="s">
        <v>718</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row>
    <row r="5" spans="1:34" x14ac:dyDescent="0.3">
      <c r="A5" s="226" t="s">
        <v>62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row>
    <row r="6" spans="1:34" x14ac:dyDescent="0.3">
      <c r="A6" s="226" t="s">
        <v>88</v>
      </c>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row>
    <row r="7" spans="1:34" x14ac:dyDescent="0.3">
      <c r="A7" s="226" t="s">
        <v>25</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spans="1:34" x14ac:dyDescent="0.3">
      <c r="A8" s="226" t="s">
        <v>26</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spans="1:34" x14ac:dyDescent="0.3">
      <c r="A9" s="226" t="s">
        <v>27</v>
      </c>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row>
    <row r="10" spans="1:34" x14ac:dyDescent="0.3">
      <c r="A10" s="226" t="s">
        <v>719</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row>
    <row r="11" spans="1:34" x14ac:dyDescent="0.3">
      <c r="A11" s="226" t="s">
        <v>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row>
    <row r="12" spans="1:34" x14ac:dyDescent="0.3">
      <c r="A12" s="226" t="s">
        <v>5</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row>
    <row r="13" spans="1:34" x14ac:dyDescent="0.3">
      <c r="A13" s="226" t="s">
        <v>5</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spans="1:34" x14ac:dyDescent="0.3">
      <c r="K14" s="227"/>
      <c r="L14" s="14"/>
      <c r="M14" s="14"/>
    </row>
    <row r="15" spans="1:34" x14ac:dyDescent="0.3">
      <c r="C15" s="227" t="s">
        <v>31</v>
      </c>
      <c r="D15" s="14"/>
      <c r="E15" s="14"/>
      <c r="G15" s="227" t="s">
        <v>37</v>
      </c>
      <c r="H15" s="14"/>
      <c r="I15" s="14"/>
      <c r="K15" s="227" t="s">
        <v>76</v>
      </c>
      <c r="L15" s="14"/>
      <c r="M15" s="14"/>
    </row>
    <row r="16" spans="1:34" x14ac:dyDescent="0.3">
      <c r="C16" s="228" t="s">
        <v>52</v>
      </c>
      <c r="D16" s="15"/>
      <c r="E16" s="15"/>
      <c r="G16" s="228" t="s">
        <v>52</v>
      </c>
      <c r="H16" s="15"/>
      <c r="I16" s="15"/>
      <c r="K16" s="228" t="s">
        <v>77</v>
      </c>
      <c r="L16" s="15"/>
      <c r="M16" s="15"/>
      <c r="O16" s="229" t="s">
        <v>28</v>
      </c>
      <c r="S16" s="229" t="s">
        <v>14</v>
      </c>
      <c r="AC16" s="229" t="s">
        <v>28</v>
      </c>
      <c r="AE16" s="229" t="s">
        <v>29</v>
      </c>
      <c r="AG16" s="9" t="s">
        <v>14</v>
      </c>
      <c r="AH16" s="9"/>
    </row>
    <row r="17" spans="1:34" x14ac:dyDescent="0.3">
      <c r="E17" s="229" t="s">
        <v>30</v>
      </c>
      <c r="I17" s="229" t="s">
        <v>30</v>
      </c>
      <c r="M17" s="229" t="s">
        <v>30</v>
      </c>
      <c r="O17" s="229" t="s">
        <v>31</v>
      </c>
      <c r="S17" s="229" t="s">
        <v>33</v>
      </c>
      <c r="U17" s="229" t="s">
        <v>34</v>
      </c>
      <c r="W17" s="229" t="s">
        <v>35</v>
      </c>
      <c r="Y17" s="229" t="s">
        <v>36</v>
      </c>
      <c r="AC17" s="229" t="s">
        <v>37</v>
      </c>
      <c r="AE17" s="229" t="s">
        <v>38</v>
      </c>
      <c r="AG17" s="9" t="s">
        <v>33</v>
      </c>
      <c r="AH17" s="9"/>
    </row>
    <row r="18" spans="1:34" x14ac:dyDescent="0.3">
      <c r="C18" s="229" t="s">
        <v>39</v>
      </c>
      <c r="E18" s="229" t="s">
        <v>40</v>
      </c>
      <c r="G18" s="229" t="s">
        <v>39</v>
      </c>
      <c r="I18" s="229" t="s">
        <v>40</v>
      </c>
      <c r="K18" s="229" t="s">
        <v>39</v>
      </c>
      <c r="M18" s="229" t="s">
        <v>40</v>
      </c>
      <c r="O18" s="229" t="s">
        <v>41</v>
      </c>
      <c r="Q18" s="229" t="s">
        <v>720</v>
      </c>
      <c r="S18" s="229" t="s">
        <v>32</v>
      </c>
      <c r="U18" s="229" t="s">
        <v>42</v>
      </c>
      <c r="W18" s="229" t="s">
        <v>43</v>
      </c>
      <c r="Y18" s="229" t="s">
        <v>78</v>
      </c>
      <c r="AA18" s="229" t="s">
        <v>44</v>
      </c>
      <c r="AC18" s="229" t="s">
        <v>41</v>
      </c>
      <c r="AE18" s="229" t="s">
        <v>45</v>
      </c>
      <c r="AG18" s="9" t="s">
        <v>32</v>
      </c>
      <c r="AH18" s="9" t="s">
        <v>44</v>
      </c>
    </row>
    <row r="19" spans="1:34" ht="16.8" x14ac:dyDescent="0.3">
      <c r="A19" s="230" t="s">
        <v>1</v>
      </c>
      <c r="C19" s="230" t="s">
        <v>723</v>
      </c>
      <c r="E19" s="230" t="s">
        <v>724</v>
      </c>
      <c r="G19" s="230" t="s">
        <v>723</v>
      </c>
      <c r="I19" s="230" t="s">
        <v>724</v>
      </c>
      <c r="K19" s="230" t="s">
        <v>46</v>
      </c>
      <c r="M19" s="230" t="s">
        <v>725</v>
      </c>
      <c r="O19" s="230" t="s">
        <v>728</v>
      </c>
      <c r="Q19" s="230" t="s">
        <v>728</v>
      </c>
      <c r="S19" s="230" t="s">
        <v>728</v>
      </c>
      <c r="U19" s="230" t="s">
        <v>728</v>
      </c>
      <c r="W19" s="230" t="s">
        <v>728</v>
      </c>
      <c r="Y19" s="230" t="s">
        <v>728</v>
      </c>
      <c r="AA19" s="230" t="s">
        <v>728</v>
      </c>
      <c r="AC19" s="230" t="s">
        <v>728</v>
      </c>
      <c r="AE19" s="230" t="s">
        <v>728</v>
      </c>
      <c r="AG19" s="10" t="s">
        <v>71</v>
      </c>
      <c r="AH19" s="10" t="s">
        <v>71</v>
      </c>
    </row>
    <row r="20" spans="1:34" x14ac:dyDescent="0.3">
      <c r="AG20" s="8"/>
      <c r="AH20" s="8"/>
    </row>
    <row r="21" spans="1:34" x14ac:dyDescent="0.3">
      <c r="A21" s="16">
        <v>2024</v>
      </c>
      <c r="C21" s="17">
        <v>5842</v>
      </c>
      <c r="E21" s="17">
        <v>0</v>
      </c>
      <c r="G21" s="17">
        <v>5842</v>
      </c>
      <c r="I21" s="17">
        <v>0</v>
      </c>
      <c r="K21" s="18">
        <v>58</v>
      </c>
      <c r="M21" s="18">
        <v>0</v>
      </c>
      <c r="O21" s="17">
        <v>338819</v>
      </c>
      <c r="Q21" s="17">
        <v>0</v>
      </c>
      <c r="S21" s="17">
        <v>22450</v>
      </c>
      <c r="U21" s="17">
        <v>87000</v>
      </c>
      <c r="W21" s="17">
        <v>32500</v>
      </c>
      <c r="Y21" s="17">
        <v>0</v>
      </c>
      <c r="AA21" s="17">
        <v>0</v>
      </c>
      <c r="AC21" s="17">
        <v>196869</v>
      </c>
      <c r="AE21" s="17">
        <v>186607</v>
      </c>
      <c r="AG21" s="13">
        <f t="shared" ref="AG21:AG57" si="0">IFERROR(S21/O21,0)</f>
        <v>6.625956631711917E-2</v>
      </c>
      <c r="AH21" s="13">
        <f t="shared" ref="AH21:AH57" si="1">IFERROR(AA21/O21,0)</f>
        <v>0</v>
      </c>
    </row>
    <row r="22" spans="1:34" x14ac:dyDescent="0.3">
      <c r="A22" s="16">
        <v>2025</v>
      </c>
      <c r="C22" s="17">
        <v>6560</v>
      </c>
      <c r="E22" s="17">
        <v>0</v>
      </c>
      <c r="G22" s="17">
        <v>6560</v>
      </c>
      <c r="I22" s="17">
        <v>0</v>
      </c>
      <c r="K22" s="18">
        <v>58</v>
      </c>
      <c r="M22" s="18">
        <v>0</v>
      </c>
      <c r="O22" s="17">
        <v>380499</v>
      </c>
      <c r="Q22" s="17">
        <v>0</v>
      </c>
      <c r="S22" s="17">
        <v>23623</v>
      </c>
      <c r="U22" s="17">
        <v>87000</v>
      </c>
      <c r="W22" s="17">
        <v>53000</v>
      </c>
      <c r="Y22" s="17">
        <v>0</v>
      </c>
      <c r="AA22" s="17">
        <v>0</v>
      </c>
      <c r="AC22" s="17">
        <v>216876</v>
      </c>
      <c r="AE22" s="17">
        <v>186086</v>
      </c>
      <c r="AG22" s="13">
        <f t="shared" si="0"/>
        <v>6.2084263033542794E-2</v>
      </c>
      <c r="AH22" s="13">
        <f t="shared" si="1"/>
        <v>0</v>
      </c>
    </row>
    <row r="23" spans="1:34" x14ac:dyDescent="0.3">
      <c r="A23" s="16">
        <v>2026</v>
      </c>
      <c r="C23" s="17">
        <v>6471</v>
      </c>
      <c r="E23" s="17">
        <v>0</v>
      </c>
      <c r="G23" s="17">
        <v>6471</v>
      </c>
      <c r="I23" s="17">
        <v>0</v>
      </c>
      <c r="K23" s="18">
        <v>58</v>
      </c>
      <c r="M23" s="18">
        <v>0</v>
      </c>
      <c r="O23" s="17">
        <v>375223</v>
      </c>
      <c r="Q23" s="17">
        <v>0</v>
      </c>
      <c r="S23" s="17">
        <v>22864</v>
      </c>
      <c r="U23" s="17">
        <v>87000</v>
      </c>
      <c r="W23" s="17">
        <v>78500</v>
      </c>
      <c r="Y23" s="17">
        <v>0</v>
      </c>
      <c r="AA23" s="17">
        <v>0</v>
      </c>
      <c r="AC23" s="17">
        <v>186858</v>
      </c>
      <c r="AE23" s="17">
        <v>145133</v>
      </c>
      <c r="AG23" s="13">
        <f t="shared" si="0"/>
        <v>6.0934430991703599E-2</v>
      </c>
      <c r="AH23" s="13">
        <f t="shared" si="1"/>
        <v>0</v>
      </c>
    </row>
    <row r="24" spans="1:34" x14ac:dyDescent="0.3">
      <c r="A24" s="16">
        <v>2027</v>
      </c>
      <c r="C24" s="17">
        <v>6274</v>
      </c>
      <c r="E24" s="17">
        <v>0</v>
      </c>
      <c r="G24" s="17">
        <v>6274</v>
      </c>
      <c r="I24" s="17">
        <v>0</v>
      </c>
      <c r="K24" s="18">
        <v>58</v>
      </c>
      <c r="M24" s="18">
        <v>0</v>
      </c>
      <c r="O24" s="17">
        <v>364010</v>
      </c>
      <c r="Q24" s="17">
        <v>0</v>
      </c>
      <c r="S24" s="17">
        <v>21956</v>
      </c>
      <c r="U24" s="17">
        <v>87000</v>
      </c>
      <c r="W24" s="17">
        <v>15500</v>
      </c>
      <c r="Y24" s="17">
        <v>0</v>
      </c>
      <c r="AA24" s="17">
        <v>0</v>
      </c>
      <c r="AC24" s="17">
        <v>239555</v>
      </c>
      <c r="AE24" s="17">
        <v>168425</v>
      </c>
      <c r="AG24" s="13">
        <f t="shared" si="0"/>
        <v>6.031702425757534E-2</v>
      </c>
      <c r="AH24" s="13">
        <f t="shared" si="1"/>
        <v>0</v>
      </c>
    </row>
    <row r="25" spans="1:34" x14ac:dyDescent="0.3">
      <c r="A25" s="16">
        <v>2028</v>
      </c>
      <c r="C25" s="17">
        <v>5606</v>
      </c>
      <c r="E25" s="17">
        <v>0</v>
      </c>
      <c r="G25" s="17">
        <v>5606</v>
      </c>
      <c r="I25" s="17">
        <v>0</v>
      </c>
      <c r="K25" s="18">
        <v>58</v>
      </c>
      <c r="M25" s="18">
        <v>0</v>
      </c>
      <c r="O25" s="17">
        <v>325120</v>
      </c>
      <c r="Q25" s="17">
        <v>0</v>
      </c>
      <c r="S25" s="17">
        <v>19932</v>
      </c>
      <c r="U25" s="17">
        <v>87000</v>
      </c>
      <c r="W25" s="17">
        <v>15500</v>
      </c>
      <c r="Y25" s="17">
        <v>0</v>
      </c>
      <c r="AA25" s="17">
        <v>0</v>
      </c>
      <c r="AC25" s="17">
        <v>202688</v>
      </c>
      <c r="AE25" s="17">
        <v>128998</v>
      </c>
      <c r="AG25" s="13">
        <f t="shared" si="0"/>
        <v>6.1306594488188974E-2</v>
      </c>
      <c r="AH25" s="13">
        <f t="shared" si="1"/>
        <v>0</v>
      </c>
    </row>
    <row r="26" spans="1:34" ht="21.9" customHeight="1" x14ac:dyDescent="0.3">
      <c r="A26" s="16">
        <v>2029</v>
      </c>
      <c r="C26" s="17">
        <v>4983</v>
      </c>
      <c r="E26" s="17">
        <v>0</v>
      </c>
      <c r="G26" s="17">
        <v>4983</v>
      </c>
      <c r="I26" s="17">
        <v>0</v>
      </c>
      <c r="K26" s="18">
        <v>58</v>
      </c>
      <c r="M26" s="18">
        <v>0</v>
      </c>
      <c r="O26" s="17">
        <v>289300</v>
      </c>
      <c r="Q26" s="17">
        <v>0</v>
      </c>
      <c r="S26" s="17">
        <v>18105</v>
      </c>
      <c r="U26" s="17">
        <v>87000</v>
      </c>
      <c r="W26" s="17">
        <v>15500</v>
      </c>
      <c r="Y26" s="17">
        <v>0</v>
      </c>
      <c r="AA26" s="17">
        <v>0</v>
      </c>
      <c r="AC26" s="17">
        <v>168695</v>
      </c>
      <c r="AE26" s="17">
        <v>97186</v>
      </c>
      <c r="AG26" s="13">
        <f t="shared" si="0"/>
        <v>6.2582094711372271E-2</v>
      </c>
      <c r="AH26" s="13">
        <f t="shared" si="1"/>
        <v>0</v>
      </c>
    </row>
    <row r="27" spans="1:34" x14ac:dyDescent="0.3">
      <c r="A27" s="16">
        <v>2030</v>
      </c>
      <c r="C27" s="17">
        <v>4466</v>
      </c>
      <c r="E27" s="17">
        <v>0</v>
      </c>
      <c r="G27" s="17">
        <v>4466</v>
      </c>
      <c r="I27" s="17">
        <v>0</v>
      </c>
      <c r="K27" s="18">
        <v>58</v>
      </c>
      <c r="M27" s="18">
        <v>0</v>
      </c>
      <c r="O27" s="17">
        <v>258603</v>
      </c>
      <c r="Q27" s="17">
        <v>0</v>
      </c>
      <c r="S27" s="17">
        <v>16503</v>
      </c>
      <c r="U27" s="17">
        <v>87000</v>
      </c>
      <c r="W27" s="17">
        <v>15500</v>
      </c>
      <c r="Y27" s="17">
        <v>0</v>
      </c>
      <c r="AA27" s="17">
        <v>0</v>
      </c>
      <c r="AC27" s="17">
        <v>139600</v>
      </c>
      <c r="AE27" s="17">
        <v>72802</v>
      </c>
      <c r="AG27" s="13">
        <f t="shared" si="0"/>
        <v>6.3815965012006814E-2</v>
      </c>
      <c r="AH27" s="13">
        <f t="shared" si="1"/>
        <v>0</v>
      </c>
    </row>
    <row r="28" spans="1:34" x14ac:dyDescent="0.3">
      <c r="A28" s="16">
        <v>2031</v>
      </c>
      <c r="C28" s="17">
        <v>3990</v>
      </c>
      <c r="E28" s="17">
        <v>0</v>
      </c>
      <c r="G28" s="17">
        <v>3990</v>
      </c>
      <c r="I28" s="17">
        <v>0</v>
      </c>
      <c r="K28" s="18">
        <v>58</v>
      </c>
      <c r="M28" s="18">
        <v>0</v>
      </c>
      <c r="O28" s="17">
        <v>231537</v>
      </c>
      <c r="Q28" s="17">
        <v>0</v>
      </c>
      <c r="S28" s="17">
        <v>15106</v>
      </c>
      <c r="U28" s="17">
        <v>87000</v>
      </c>
      <c r="W28" s="17">
        <v>15500</v>
      </c>
      <c r="Y28" s="17">
        <v>0</v>
      </c>
      <c r="AA28" s="17">
        <v>0</v>
      </c>
      <c r="AC28" s="17">
        <v>113931</v>
      </c>
      <c r="AE28" s="17">
        <v>53783</v>
      </c>
      <c r="AG28" s="13">
        <f t="shared" si="0"/>
        <v>6.5242272293413145E-2</v>
      </c>
      <c r="AH28" s="13">
        <f t="shared" si="1"/>
        <v>0</v>
      </c>
    </row>
    <row r="29" spans="1:34" x14ac:dyDescent="0.3">
      <c r="A29" s="16">
        <v>2032</v>
      </c>
      <c r="C29" s="17">
        <v>3590</v>
      </c>
      <c r="E29" s="17">
        <v>0</v>
      </c>
      <c r="G29" s="17">
        <v>3590</v>
      </c>
      <c r="I29" s="17">
        <v>0</v>
      </c>
      <c r="K29" s="18">
        <v>58</v>
      </c>
      <c r="M29" s="18">
        <v>0</v>
      </c>
      <c r="O29" s="17">
        <v>208166</v>
      </c>
      <c r="Q29" s="17">
        <v>0</v>
      </c>
      <c r="S29" s="17">
        <v>13893</v>
      </c>
      <c r="U29" s="17">
        <v>87000</v>
      </c>
      <c r="W29" s="17">
        <v>15500</v>
      </c>
      <c r="Y29" s="17">
        <v>0</v>
      </c>
      <c r="AA29" s="17">
        <v>0</v>
      </c>
      <c r="AC29" s="17">
        <v>91773</v>
      </c>
      <c r="AE29" s="17">
        <v>39216</v>
      </c>
      <c r="AG29" s="13">
        <f t="shared" si="0"/>
        <v>6.6740005572475808E-2</v>
      </c>
      <c r="AH29" s="13">
        <f t="shared" si="1"/>
        <v>0</v>
      </c>
    </row>
    <row r="30" spans="1:34" x14ac:dyDescent="0.3">
      <c r="A30" s="16">
        <v>2033</v>
      </c>
      <c r="C30" s="17">
        <v>3208</v>
      </c>
      <c r="E30" s="17">
        <v>0</v>
      </c>
      <c r="G30" s="17">
        <v>3208</v>
      </c>
      <c r="I30" s="17">
        <v>0</v>
      </c>
      <c r="K30" s="18">
        <v>58</v>
      </c>
      <c r="M30" s="18">
        <v>0</v>
      </c>
      <c r="O30" s="17">
        <v>186413</v>
      </c>
      <c r="Q30" s="17">
        <v>0</v>
      </c>
      <c r="S30" s="17">
        <v>12784</v>
      </c>
      <c r="U30" s="17">
        <v>87000</v>
      </c>
      <c r="W30" s="17">
        <v>15500</v>
      </c>
      <c r="Y30" s="17">
        <v>0</v>
      </c>
      <c r="AA30" s="17">
        <v>0</v>
      </c>
      <c r="AC30" s="17">
        <v>71129</v>
      </c>
      <c r="AE30" s="17">
        <v>27514</v>
      </c>
      <c r="AG30" s="13">
        <f t="shared" si="0"/>
        <v>6.8578908123360496E-2</v>
      </c>
      <c r="AH30" s="13">
        <f t="shared" si="1"/>
        <v>0</v>
      </c>
    </row>
    <row r="31" spans="1:34" ht="21.9" customHeight="1" x14ac:dyDescent="0.3">
      <c r="A31" s="16">
        <v>2034</v>
      </c>
      <c r="C31" s="17">
        <v>2896</v>
      </c>
      <c r="E31" s="17">
        <v>0</v>
      </c>
      <c r="G31" s="17">
        <v>2896</v>
      </c>
      <c r="I31" s="17">
        <v>0</v>
      </c>
      <c r="K31" s="18">
        <v>58</v>
      </c>
      <c r="M31" s="18">
        <v>0</v>
      </c>
      <c r="O31" s="17">
        <v>167663</v>
      </c>
      <c r="Q31" s="17">
        <v>0</v>
      </c>
      <c r="S31" s="17">
        <v>11543</v>
      </c>
      <c r="U31" s="17">
        <v>87000</v>
      </c>
      <c r="W31" s="17">
        <v>15500</v>
      </c>
      <c r="Y31" s="17">
        <v>0</v>
      </c>
      <c r="AA31" s="17">
        <v>0</v>
      </c>
      <c r="AC31" s="17">
        <v>53620</v>
      </c>
      <c r="AE31" s="17">
        <v>18776</v>
      </c>
      <c r="AG31" s="13">
        <f t="shared" si="0"/>
        <v>6.8846436005558773E-2</v>
      </c>
      <c r="AH31" s="13">
        <f t="shared" si="1"/>
        <v>0</v>
      </c>
    </row>
    <row r="32" spans="1:34" x14ac:dyDescent="0.3">
      <c r="A32" s="16">
        <v>2035</v>
      </c>
      <c r="C32" s="17">
        <v>2603</v>
      </c>
      <c r="E32" s="17">
        <v>0</v>
      </c>
      <c r="G32" s="17">
        <v>2603</v>
      </c>
      <c r="I32" s="17">
        <v>0</v>
      </c>
      <c r="K32" s="18">
        <v>58</v>
      </c>
      <c r="M32" s="18">
        <v>0</v>
      </c>
      <c r="O32" s="17">
        <v>151015</v>
      </c>
      <c r="Q32" s="17">
        <v>0</v>
      </c>
      <c r="S32" s="17">
        <v>12836</v>
      </c>
      <c r="U32" s="17">
        <v>87000</v>
      </c>
      <c r="W32" s="17">
        <v>15500</v>
      </c>
      <c r="Y32" s="17">
        <v>0</v>
      </c>
      <c r="AA32" s="17">
        <v>0</v>
      </c>
      <c r="AC32" s="17">
        <v>35679</v>
      </c>
      <c r="AE32" s="17">
        <v>11308</v>
      </c>
      <c r="AG32" s="13">
        <f t="shared" si="0"/>
        <v>8.4998178988842168E-2</v>
      </c>
      <c r="AH32" s="13">
        <f t="shared" si="1"/>
        <v>0</v>
      </c>
    </row>
    <row r="33" spans="1:34" x14ac:dyDescent="0.3">
      <c r="A33" s="16">
        <v>2036</v>
      </c>
      <c r="C33" s="17">
        <v>2352</v>
      </c>
      <c r="E33" s="17">
        <v>0</v>
      </c>
      <c r="G33" s="17">
        <v>2352</v>
      </c>
      <c r="I33" s="17">
        <v>0</v>
      </c>
      <c r="K33" s="18">
        <v>58</v>
      </c>
      <c r="M33" s="18">
        <v>0</v>
      </c>
      <c r="O33" s="17">
        <v>136564</v>
      </c>
      <c r="Q33" s="17">
        <v>0</v>
      </c>
      <c r="S33" s="17">
        <v>11608</v>
      </c>
      <c r="U33" s="17">
        <v>87000</v>
      </c>
      <c r="W33" s="17">
        <v>15500</v>
      </c>
      <c r="Y33" s="17">
        <v>0</v>
      </c>
      <c r="AA33" s="17">
        <v>0</v>
      </c>
      <c r="AC33" s="17">
        <v>22456</v>
      </c>
      <c r="AE33" s="17">
        <v>6443</v>
      </c>
      <c r="AG33" s="13">
        <f t="shared" si="0"/>
        <v>8.5000439354441876E-2</v>
      </c>
      <c r="AH33" s="13">
        <f t="shared" si="1"/>
        <v>0</v>
      </c>
    </row>
    <row r="34" spans="1:34" x14ac:dyDescent="0.3">
      <c r="A34" s="16">
        <v>2037</v>
      </c>
      <c r="C34" s="17">
        <v>2120</v>
      </c>
      <c r="E34" s="17">
        <v>0</v>
      </c>
      <c r="G34" s="17">
        <v>2120</v>
      </c>
      <c r="I34" s="17">
        <v>0</v>
      </c>
      <c r="K34" s="18">
        <v>58</v>
      </c>
      <c r="M34" s="18">
        <v>0</v>
      </c>
      <c r="O34" s="17">
        <v>122988</v>
      </c>
      <c r="Q34" s="17">
        <v>0</v>
      </c>
      <c r="S34" s="17">
        <v>10454</v>
      </c>
      <c r="U34" s="17">
        <v>87000</v>
      </c>
      <c r="W34" s="17">
        <v>0</v>
      </c>
      <c r="Y34" s="17">
        <v>0</v>
      </c>
      <c r="AA34" s="17">
        <v>0</v>
      </c>
      <c r="AC34" s="17">
        <v>25534</v>
      </c>
      <c r="AE34" s="17">
        <v>6632</v>
      </c>
      <c r="AG34" s="13">
        <f t="shared" si="0"/>
        <v>8.5000162617491132E-2</v>
      </c>
      <c r="AH34" s="13">
        <f t="shared" si="1"/>
        <v>0</v>
      </c>
    </row>
    <row r="35" spans="1:34" x14ac:dyDescent="0.3">
      <c r="A35" s="16">
        <v>2038</v>
      </c>
      <c r="C35" s="17">
        <v>1907</v>
      </c>
      <c r="E35" s="17">
        <v>0</v>
      </c>
      <c r="G35" s="17">
        <v>1907</v>
      </c>
      <c r="I35" s="17">
        <v>0</v>
      </c>
      <c r="K35" s="18">
        <v>58</v>
      </c>
      <c r="M35" s="18">
        <v>0</v>
      </c>
      <c r="O35" s="17">
        <v>110658</v>
      </c>
      <c r="Q35" s="17">
        <v>0</v>
      </c>
      <c r="S35" s="17">
        <v>9406</v>
      </c>
      <c r="U35" s="17">
        <v>87000</v>
      </c>
      <c r="W35" s="17">
        <v>0</v>
      </c>
      <c r="Y35" s="17">
        <v>0</v>
      </c>
      <c r="AA35" s="17">
        <v>0</v>
      </c>
      <c r="AC35" s="17">
        <v>14252</v>
      </c>
      <c r="AE35" s="17">
        <v>3351</v>
      </c>
      <c r="AG35" s="13">
        <f t="shared" si="0"/>
        <v>8.5000632579659854E-2</v>
      </c>
      <c r="AH35" s="13">
        <f t="shared" si="1"/>
        <v>0</v>
      </c>
    </row>
    <row r="36" spans="1:34" ht="21.9" customHeight="1" x14ac:dyDescent="0.3">
      <c r="A36" s="16">
        <v>2039</v>
      </c>
      <c r="C36" s="17">
        <v>1731</v>
      </c>
      <c r="E36" s="17">
        <v>0</v>
      </c>
      <c r="G36" s="17">
        <v>1731</v>
      </c>
      <c r="I36" s="17">
        <v>0</v>
      </c>
      <c r="K36" s="18">
        <v>58</v>
      </c>
      <c r="M36" s="18">
        <v>0</v>
      </c>
      <c r="O36" s="17">
        <v>100140</v>
      </c>
      <c r="Q36" s="17">
        <v>0</v>
      </c>
      <c r="S36" s="17">
        <v>8512</v>
      </c>
      <c r="U36" s="17">
        <v>87000</v>
      </c>
      <c r="W36" s="17">
        <v>0</v>
      </c>
      <c r="Y36" s="17">
        <v>0</v>
      </c>
      <c r="AA36" s="17">
        <v>0</v>
      </c>
      <c r="AC36" s="17">
        <v>4628</v>
      </c>
      <c r="AE36" s="17">
        <v>985</v>
      </c>
      <c r="AG36" s="13">
        <f t="shared" si="0"/>
        <v>8.5000998601957256E-2</v>
      </c>
      <c r="AH36" s="13">
        <f t="shared" si="1"/>
        <v>0</v>
      </c>
    </row>
    <row r="37" spans="1:34" x14ac:dyDescent="0.3">
      <c r="A37" s="16">
        <v>2040</v>
      </c>
      <c r="C37" s="17">
        <v>0</v>
      </c>
      <c r="E37" s="17">
        <v>0</v>
      </c>
      <c r="G37" s="17">
        <v>0</v>
      </c>
      <c r="I37" s="17">
        <v>0</v>
      </c>
      <c r="K37" s="18">
        <v>0</v>
      </c>
      <c r="M37" s="18">
        <v>0</v>
      </c>
      <c r="O37" s="17">
        <v>0</v>
      </c>
      <c r="Q37" s="17">
        <v>0</v>
      </c>
      <c r="S37" s="17">
        <v>0</v>
      </c>
      <c r="U37" s="17">
        <v>0</v>
      </c>
      <c r="W37" s="17">
        <v>0</v>
      </c>
      <c r="Y37" s="17">
        <v>93100</v>
      </c>
      <c r="AA37" s="17">
        <v>0</v>
      </c>
      <c r="AC37" s="17">
        <v>-93100</v>
      </c>
      <c r="AE37" s="17">
        <v>-17935</v>
      </c>
      <c r="AG37" s="13">
        <f t="shared" si="0"/>
        <v>0</v>
      </c>
      <c r="AH37" s="13">
        <f t="shared" si="1"/>
        <v>0</v>
      </c>
    </row>
    <row r="38" spans="1:34" x14ac:dyDescent="0.3">
      <c r="A38" s="16">
        <v>2041</v>
      </c>
      <c r="C38" s="17">
        <v>0</v>
      </c>
      <c r="E38" s="17">
        <v>0</v>
      </c>
      <c r="G38" s="17">
        <v>0</v>
      </c>
      <c r="I38" s="17">
        <v>0</v>
      </c>
      <c r="K38" s="18">
        <v>0</v>
      </c>
      <c r="M38" s="18">
        <v>0</v>
      </c>
      <c r="O38" s="17">
        <v>0</v>
      </c>
      <c r="Q38" s="17">
        <v>0</v>
      </c>
      <c r="S38" s="17">
        <v>0</v>
      </c>
      <c r="U38" s="17">
        <v>0</v>
      </c>
      <c r="W38" s="17">
        <v>0</v>
      </c>
      <c r="Y38" s="17">
        <v>0</v>
      </c>
      <c r="AA38" s="17">
        <v>0</v>
      </c>
      <c r="AC38" s="17">
        <v>0</v>
      </c>
      <c r="AE38" s="17">
        <v>0</v>
      </c>
      <c r="AG38" s="13">
        <f t="shared" si="0"/>
        <v>0</v>
      </c>
      <c r="AH38" s="13">
        <f t="shared" si="1"/>
        <v>0</v>
      </c>
    </row>
    <row r="39" spans="1:34" x14ac:dyDescent="0.3">
      <c r="A39" s="16">
        <v>2042</v>
      </c>
      <c r="C39" s="17">
        <v>0</v>
      </c>
      <c r="E39" s="17">
        <v>0</v>
      </c>
      <c r="G39" s="17">
        <v>0</v>
      </c>
      <c r="I39" s="17">
        <v>0</v>
      </c>
      <c r="K39" s="18">
        <v>0</v>
      </c>
      <c r="M39" s="18">
        <v>0</v>
      </c>
      <c r="O39" s="17">
        <v>0</v>
      </c>
      <c r="Q39" s="17">
        <v>0</v>
      </c>
      <c r="S39" s="17">
        <v>0</v>
      </c>
      <c r="U39" s="17">
        <v>0</v>
      </c>
      <c r="W39" s="17">
        <v>0</v>
      </c>
      <c r="Y39" s="17">
        <v>0</v>
      </c>
      <c r="AA39" s="17">
        <v>0</v>
      </c>
      <c r="AC39" s="17">
        <v>0</v>
      </c>
      <c r="AE39" s="17">
        <v>0</v>
      </c>
      <c r="AG39" s="13">
        <f t="shared" si="0"/>
        <v>0</v>
      </c>
      <c r="AH39" s="13">
        <f t="shared" si="1"/>
        <v>0</v>
      </c>
    </row>
    <row r="40" spans="1:34" x14ac:dyDescent="0.3">
      <c r="A40" s="16">
        <v>2043</v>
      </c>
      <c r="C40" s="17">
        <v>0</v>
      </c>
      <c r="E40" s="17">
        <v>0</v>
      </c>
      <c r="G40" s="17">
        <v>0</v>
      </c>
      <c r="I40" s="17">
        <v>0</v>
      </c>
      <c r="K40" s="18">
        <v>0</v>
      </c>
      <c r="M40" s="18">
        <v>0</v>
      </c>
      <c r="O40" s="17">
        <v>0</v>
      </c>
      <c r="Q40" s="17">
        <v>0</v>
      </c>
      <c r="S40" s="17">
        <v>0</v>
      </c>
      <c r="U40" s="17">
        <v>0</v>
      </c>
      <c r="W40" s="17">
        <v>0</v>
      </c>
      <c r="Y40" s="17">
        <v>0</v>
      </c>
      <c r="AA40" s="17">
        <v>0</v>
      </c>
      <c r="AC40" s="17">
        <v>0</v>
      </c>
      <c r="AE40" s="17">
        <v>0</v>
      </c>
      <c r="AG40" s="13">
        <f t="shared" si="0"/>
        <v>0</v>
      </c>
      <c r="AH40" s="13">
        <f t="shared" si="1"/>
        <v>0</v>
      </c>
    </row>
    <row r="41" spans="1:34" ht="21.9" customHeight="1" x14ac:dyDescent="0.3">
      <c r="A41" s="16">
        <v>2044</v>
      </c>
      <c r="C41" s="17">
        <v>0</v>
      </c>
      <c r="E41" s="17">
        <v>0</v>
      </c>
      <c r="G41" s="17">
        <v>0</v>
      </c>
      <c r="I41" s="17">
        <v>0</v>
      </c>
      <c r="K41" s="18">
        <v>0</v>
      </c>
      <c r="M41" s="18">
        <v>0</v>
      </c>
      <c r="O41" s="17">
        <v>0</v>
      </c>
      <c r="Q41" s="17">
        <v>0</v>
      </c>
      <c r="S41" s="17">
        <v>0</v>
      </c>
      <c r="U41" s="17">
        <v>0</v>
      </c>
      <c r="W41" s="17">
        <v>0</v>
      </c>
      <c r="Y41" s="17">
        <v>0</v>
      </c>
      <c r="AA41" s="17">
        <v>0</v>
      </c>
      <c r="AC41" s="17">
        <v>0</v>
      </c>
      <c r="AE41" s="17">
        <v>0</v>
      </c>
      <c r="AG41" s="13">
        <f t="shared" si="0"/>
        <v>0</v>
      </c>
      <c r="AH41" s="13">
        <f t="shared" si="1"/>
        <v>0</v>
      </c>
    </row>
    <row r="42" spans="1:34" x14ac:dyDescent="0.3">
      <c r="A42" s="16">
        <v>2045</v>
      </c>
      <c r="C42" s="17">
        <v>0</v>
      </c>
      <c r="E42" s="17">
        <v>0</v>
      </c>
      <c r="G42" s="17">
        <v>0</v>
      </c>
      <c r="I42" s="17">
        <v>0</v>
      </c>
      <c r="K42" s="18">
        <v>0</v>
      </c>
      <c r="M42" s="18">
        <v>0</v>
      </c>
      <c r="O42" s="17">
        <v>0</v>
      </c>
      <c r="Q42" s="17">
        <v>0</v>
      </c>
      <c r="S42" s="17">
        <v>0</v>
      </c>
      <c r="U42" s="17">
        <v>0</v>
      </c>
      <c r="W42" s="17">
        <v>0</v>
      </c>
      <c r="Y42" s="17">
        <v>0</v>
      </c>
      <c r="AA42" s="17">
        <v>0</v>
      </c>
      <c r="AC42" s="17">
        <v>0</v>
      </c>
      <c r="AE42" s="17">
        <v>0</v>
      </c>
      <c r="AG42" s="13">
        <f t="shared" si="0"/>
        <v>0</v>
      </c>
      <c r="AH42" s="13">
        <f t="shared" si="1"/>
        <v>0</v>
      </c>
    </row>
    <row r="43" spans="1:34" x14ac:dyDescent="0.3">
      <c r="A43" s="16">
        <v>2046</v>
      </c>
      <c r="C43" s="17">
        <v>0</v>
      </c>
      <c r="E43" s="17">
        <v>0</v>
      </c>
      <c r="G43" s="17">
        <v>0</v>
      </c>
      <c r="I43" s="17">
        <v>0</v>
      </c>
      <c r="K43" s="18">
        <v>0</v>
      </c>
      <c r="M43" s="18">
        <v>0</v>
      </c>
      <c r="O43" s="17">
        <v>0</v>
      </c>
      <c r="Q43" s="17">
        <v>0</v>
      </c>
      <c r="S43" s="17">
        <v>0</v>
      </c>
      <c r="U43" s="17">
        <v>0</v>
      </c>
      <c r="W43" s="17">
        <v>0</v>
      </c>
      <c r="Y43" s="17">
        <v>0</v>
      </c>
      <c r="AA43" s="17">
        <v>0</v>
      </c>
      <c r="AC43" s="17">
        <v>0</v>
      </c>
      <c r="AE43" s="17">
        <v>0</v>
      </c>
      <c r="AG43" s="13">
        <f t="shared" si="0"/>
        <v>0</v>
      </c>
      <c r="AH43" s="13">
        <f t="shared" si="1"/>
        <v>0</v>
      </c>
    </row>
    <row r="44" spans="1:34" x14ac:dyDescent="0.3">
      <c r="A44" s="16">
        <v>2047</v>
      </c>
      <c r="C44" s="17">
        <v>0</v>
      </c>
      <c r="E44" s="17">
        <v>0</v>
      </c>
      <c r="G44" s="17">
        <v>0</v>
      </c>
      <c r="I44" s="17">
        <v>0</v>
      </c>
      <c r="K44" s="18">
        <v>0</v>
      </c>
      <c r="M44" s="18">
        <v>0</v>
      </c>
      <c r="O44" s="17">
        <v>0</v>
      </c>
      <c r="Q44" s="17">
        <v>0</v>
      </c>
      <c r="S44" s="17">
        <v>0</v>
      </c>
      <c r="U44" s="17">
        <v>0</v>
      </c>
      <c r="W44" s="17">
        <v>0</v>
      </c>
      <c r="Y44" s="17">
        <v>0</v>
      </c>
      <c r="AA44" s="17">
        <v>0</v>
      </c>
      <c r="AC44" s="17">
        <v>0</v>
      </c>
      <c r="AE44" s="17">
        <v>0</v>
      </c>
      <c r="AG44" s="13">
        <f t="shared" si="0"/>
        <v>0</v>
      </c>
      <c r="AH44" s="13">
        <f t="shared" si="1"/>
        <v>0</v>
      </c>
    </row>
    <row r="45" spans="1:34" x14ac:dyDescent="0.3">
      <c r="A45" s="16">
        <v>2048</v>
      </c>
      <c r="C45" s="17">
        <v>0</v>
      </c>
      <c r="E45" s="17">
        <v>0</v>
      </c>
      <c r="G45" s="17">
        <v>0</v>
      </c>
      <c r="I45" s="17">
        <v>0</v>
      </c>
      <c r="K45" s="18">
        <v>0</v>
      </c>
      <c r="M45" s="18">
        <v>0</v>
      </c>
      <c r="O45" s="17">
        <v>0</v>
      </c>
      <c r="Q45" s="17">
        <v>0</v>
      </c>
      <c r="S45" s="17">
        <v>0</v>
      </c>
      <c r="U45" s="17">
        <v>0</v>
      </c>
      <c r="W45" s="17">
        <v>0</v>
      </c>
      <c r="Y45" s="17">
        <v>0</v>
      </c>
      <c r="AA45" s="17">
        <v>0</v>
      </c>
      <c r="AC45" s="17">
        <v>0</v>
      </c>
      <c r="AE45" s="17">
        <v>0</v>
      </c>
      <c r="AG45" s="13">
        <f t="shared" si="0"/>
        <v>0</v>
      </c>
      <c r="AH45" s="13">
        <f t="shared" si="1"/>
        <v>0</v>
      </c>
    </row>
    <row r="46" spans="1:34" ht="21.9" customHeight="1" x14ac:dyDescent="0.3">
      <c r="A46" s="16">
        <v>2049</v>
      </c>
      <c r="C46" s="17">
        <v>0</v>
      </c>
      <c r="E46" s="17">
        <v>0</v>
      </c>
      <c r="G46" s="17">
        <v>0</v>
      </c>
      <c r="I46" s="17">
        <v>0</v>
      </c>
      <c r="K46" s="18">
        <v>0</v>
      </c>
      <c r="M46" s="18">
        <v>0</v>
      </c>
      <c r="O46" s="17">
        <v>0</v>
      </c>
      <c r="Q46" s="17">
        <v>0</v>
      </c>
      <c r="S46" s="17">
        <v>0</v>
      </c>
      <c r="U46" s="17">
        <v>0</v>
      </c>
      <c r="W46" s="17">
        <v>0</v>
      </c>
      <c r="Y46" s="17">
        <v>0</v>
      </c>
      <c r="AA46" s="17">
        <v>0</v>
      </c>
      <c r="AC46" s="17">
        <v>0</v>
      </c>
      <c r="AE46" s="17">
        <v>0</v>
      </c>
      <c r="AG46" s="13">
        <f t="shared" si="0"/>
        <v>0</v>
      </c>
      <c r="AH46" s="13">
        <f t="shared" si="1"/>
        <v>0</v>
      </c>
    </row>
    <row r="47" spans="1:34" x14ac:dyDescent="0.3">
      <c r="A47" s="16">
        <v>2050</v>
      </c>
      <c r="C47" s="17">
        <v>0</v>
      </c>
      <c r="E47" s="17">
        <v>0</v>
      </c>
      <c r="G47" s="17">
        <v>0</v>
      </c>
      <c r="I47" s="17">
        <v>0</v>
      </c>
      <c r="K47" s="18">
        <v>0</v>
      </c>
      <c r="M47" s="18">
        <v>0</v>
      </c>
      <c r="O47" s="17">
        <v>0</v>
      </c>
      <c r="Q47" s="17">
        <v>0</v>
      </c>
      <c r="S47" s="17">
        <v>0</v>
      </c>
      <c r="U47" s="17">
        <v>0</v>
      </c>
      <c r="W47" s="17">
        <v>0</v>
      </c>
      <c r="Y47" s="17">
        <v>0</v>
      </c>
      <c r="AA47" s="17">
        <v>0</v>
      </c>
      <c r="AC47" s="17">
        <v>0</v>
      </c>
      <c r="AE47" s="17">
        <v>0</v>
      </c>
      <c r="AG47" s="13">
        <f t="shared" si="0"/>
        <v>0</v>
      </c>
      <c r="AH47" s="13">
        <f t="shared" si="1"/>
        <v>0</v>
      </c>
    </row>
    <row r="48" spans="1:34" x14ac:dyDescent="0.3">
      <c r="A48" s="16">
        <v>2051</v>
      </c>
      <c r="C48" s="17">
        <v>0</v>
      </c>
      <c r="E48" s="17">
        <v>0</v>
      </c>
      <c r="G48" s="17">
        <v>0</v>
      </c>
      <c r="I48" s="17">
        <v>0</v>
      </c>
      <c r="K48" s="18">
        <v>0</v>
      </c>
      <c r="M48" s="18">
        <v>0</v>
      </c>
      <c r="O48" s="17">
        <v>0</v>
      </c>
      <c r="Q48" s="17">
        <v>0</v>
      </c>
      <c r="S48" s="17">
        <v>0</v>
      </c>
      <c r="U48" s="17">
        <v>0</v>
      </c>
      <c r="W48" s="17">
        <v>0</v>
      </c>
      <c r="Y48" s="17">
        <v>0</v>
      </c>
      <c r="AA48" s="17">
        <v>0</v>
      </c>
      <c r="AC48" s="17">
        <v>0</v>
      </c>
      <c r="AE48" s="17">
        <v>0</v>
      </c>
      <c r="AG48" s="13">
        <f t="shared" si="0"/>
        <v>0</v>
      </c>
      <c r="AH48" s="13">
        <f t="shared" si="1"/>
        <v>0</v>
      </c>
    </row>
    <row r="49" spans="1:34" x14ac:dyDescent="0.3">
      <c r="A49" s="16">
        <v>2052</v>
      </c>
      <c r="C49" s="17">
        <v>0</v>
      </c>
      <c r="E49" s="17">
        <v>0</v>
      </c>
      <c r="G49" s="17">
        <v>0</v>
      </c>
      <c r="I49" s="17">
        <v>0</v>
      </c>
      <c r="K49" s="18">
        <v>0</v>
      </c>
      <c r="M49" s="18">
        <v>0</v>
      </c>
      <c r="O49" s="17">
        <v>0</v>
      </c>
      <c r="Q49" s="17">
        <v>0</v>
      </c>
      <c r="S49" s="17">
        <v>0</v>
      </c>
      <c r="U49" s="17">
        <v>0</v>
      </c>
      <c r="W49" s="17">
        <v>0</v>
      </c>
      <c r="Y49" s="17">
        <v>0</v>
      </c>
      <c r="AA49" s="17">
        <v>0</v>
      </c>
      <c r="AC49" s="17">
        <v>0</v>
      </c>
      <c r="AE49" s="17">
        <v>0</v>
      </c>
      <c r="AG49" s="13">
        <f t="shared" si="0"/>
        <v>0</v>
      </c>
      <c r="AH49" s="13">
        <f t="shared" si="1"/>
        <v>0</v>
      </c>
    </row>
    <row r="50" spans="1:34" x14ac:dyDescent="0.3">
      <c r="A50" s="16">
        <v>2053</v>
      </c>
      <c r="C50" s="17">
        <v>0</v>
      </c>
      <c r="E50" s="17">
        <v>0</v>
      </c>
      <c r="G50" s="17">
        <v>0</v>
      </c>
      <c r="I50" s="17">
        <v>0</v>
      </c>
      <c r="K50" s="18">
        <v>0</v>
      </c>
      <c r="M50" s="18">
        <v>0</v>
      </c>
      <c r="O50" s="17">
        <v>0</v>
      </c>
      <c r="Q50" s="17">
        <v>0</v>
      </c>
      <c r="S50" s="17">
        <v>0</v>
      </c>
      <c r="U50" s="17">
        <v>0</v>
      </c>
      <c r="W50" s="17">
        <v>0</v>
      </c>
      <c r="Y50" s="17">
        <v>0</v>
      </c>
      <c r="AA50" s="17">
        <v>0</v>
      </c>
      <c r="AC50" s="17">
        <v>0</v>
      </c>
      <c r="AE50" s="17">
        <v>0</v>
      </c>
      <c r="AG50" s="13">
        <f t="shared" si="0"/>
        <v>0</v>
      </c>
      <c r="AH50" s="13">
        <f t="shared" si="1"/>
        <v>0</v>
      </c>
    </row>
    <row r="51" spans="1:34" ht="21.9" customHeight="1" x14ac:dyDescent="0.3">
      <c r="A51" s="16">
        <v>2054</v>
      </c>
      <c r="C51" s="17">
        <v>0</v>
      </c>
      <c r="E51" s="17">
        <v>0</v>
      </c>
      <c r="G51" s="17">
        <v>0</v>
      </c>
      <c r="I51" s="17">
        <v>0</v>
      </c>
      <c r="K51" s="18">
        <v>0</v>
      </c>
      <c r="M51" s="18">
        <v>0</v>
      </c>
      <c r="O51" s="17">
        <v>0</v>
      </c>
      <c r="Q51" s="17">
        <v>0</v>
      </c>
      <c r="S51" s="17">
        <v>0</v>
      </c>
      <c r="U51" s="17">
        <v>0</v>
      </c>
      <c r="W51" s="17">
        <v>0</v>
      </c>
      <c r="Y51" s="17">
        <v>0</v>
      </c>
      <c r="AA51" s="17">
        <v>0</v>
      </c>
      <c r="AC51" s="17">
        <v>0</v>
      </c>
      <c r="AE51" s="17">
        <v>0</v>
      </c>
      <c r="AG51" s="13">
        <f t="shared" si="0"/>
        <v>0</v>
      </c>
      <c r="AH51" s="13">
        <f t="shared" si="1"/>
        <v>0</v>
      </c>
    </row>
    <row r="52" spans="1:34" x14ac:dyDescent="0.3">
      <c r="A52" s="16">
        <v>2055</v>
      </c>
      <c r="C52" s="17">
        <v>0</v>
      </c>
      <c r="E52" s="17">
        <v>0</v>
      </c>
      <c r="G52" s="17">
        <v>0</v>
      </c>
      <c r="I52" s="17">
        <v>0</v>
      </c>
      <c r="K52" s="18">
        <v>0</v>
      </c>
      <c r="M52" s="18">
        <v>0</v>
      </c>
      <c r="O52" s="17">
        <v>0</v>
      </c>
      <c r="Q52" s="17">
        <v>0</v>
      </c>
      <c r="S52" s="17">
        <v>0</v>
      </c>
      <c r="U52" s="17">
        <v>0</v>
      </c>
      <c r="W52" s="17">
        <v>0</v>
      </c>
      <c r="Y52" s="17">
        <v>0</v>
      </c>
      <c r="AA52" s="17">
        <v>0</v>
      </c>
      <c r="AC52" s="17">
        <v>0</v>
      </c>
      <c r="AE52" s="17">
        <v>0</v>
      </c>
      <c r="AG52" s="13">
        <f t="shared" si="0"/>
        <v>0</v>
      </c>
      <c r="AH52" s="13">
        <f t="shared" si="1"/>
        <v>0</v>
      </c>
    </row>
    <row r="53" spans="1:34" x14ac:dyDescent="0.3">
      <c r="A53" s="16">
        <v>2056</v>
      </c>
      <c r="C53" s="17">
        <v>0</v>
      </c>
      <c r="E53" s="17">
        <v>0</v>
      </c>
      <c r="G53" s="17">
        <v>0</v>
      </c>
      <c r="I53" s="17">
        <v>0</v>
      </c>
      <c r="K53" s="18">
        <v>0</v>
      </c>
      <c r="M53" s="18">
        <v>0</v>
      </c>
      <c r="O53" s="17">
        <v>0</v>
      </c>
      <c r="Q53" s="17">
        <v>0</v>
      </c>
      <c r="S53" s="17">
        <v>0</v>
      </c>
      <c r="U53" s="17">
        <v>0</v>
      </c>
      <c r="W53" s="17">
        <v>0</v>
      </c>
      <c r="Y53" s="17">
        <v>0</v>
      </c>
      <c r="AA53" s="17">
        <v>0</v>
      </c>
      <c r="AC53" s="17">
        <v>0</v>
      </c>
      <c r="AE53" s="17">
        <v>0</v>
      </c>
      <c r="AG53" s="13">
        <f t="shared" si="0"/>
        <v>0</v>
      </c>
      <c r="AH53" s="13">
        <f t="shared" si="1"/>
        <v>0</v>
      </c>
    </row>
    <row r="54" spans="1:34" x14ac:dyDescent="0.3">
      <c r="A54" s="16">
        <v>2057</v>
      </c>
      <c r="C54" s="17">
        <v>0</v>
      </c>
      <c r="E54" s="17">
        <v>0</v>
      </c>
      <c r="G54" s="17">
        <v>0</v>
      </c>
      <c r="I54" s="17">
        <v>0</v>
      </c>
      <c r="K54" s="18">
        <v>0</v>
      </c>
      <c r="M54" s="18">
        <v>0</v>
      </c>
      <c r="O54" s="17">
        <v>0</v>
      </c>
      <c r="Q54" s="17">
        <v>0</v>
      </c>
      <c r="S54" s="17">
        <v>0</v>
      </c>
      <c r="U54" s="17">
        <v>0</v>
      </c>
      <c r="W54" s="17">
        <v>0</v>
      </c>
      <c r="Y54" s="17">
        <v>0</v>
      </c>
      <c r="AA54" s="17">
        <v>0</v>
      </c>
      <c r="AC54" s="17">
        <v>0</v>
      </c>
      <c r="AE54" s="17">
        <v>0</v>
      </c>
      <c r="AG54" s="13">
        <f t="shared" si="0"/>
        <v>0</v>
      </c>
      <c r="AH54" s="13">
        <f t="shared" si="1"/>
        <v>0</v>
      </c>
    </row>
    <row r="55" spans="1:34" x14ac:dyDescent="0.3">
      <c r="A55" s="16">
        <v>2058</v>
      </c>
      <c r="C55" s="17">
        <v>0</v>
      </c>
      <c r="E55" s="17">
        <v>0</v>
      </c>
      <c r="G55" s="17">
        <v>0</v>
      </c>
      <c r="I55" s="17">
        <v>0</v>
      </c>
      <c r="K55" s="18">
        <v>0</v>
      </c>
      <c r="M55" s="18">
        <v>0</v>
      </c>
      <c r="O55" s="17">
        <v>0</v>
      </c>
      <c r="Q55" s="17">
        <v>0</v>
      </c>
      <c r="S55" s="17">
        <v>0</v>
      </c>
      <c r="U55" s="17">
        <v>0</v>
      </c>
      <c r="W55" s="17">
        <v>0</v>
      </c>
      <c r="Y55" s="17">
        <v>0</v>
      </c>
      <c r="AA55" s="17">
        <v>0</v>
      </c>
      <c r="AC55" s="17">
        <v>0</v>
      </c>
      <c r="AE55" s="17">
        <v>0</v>
      </c>
      <c r="AG55" s="13">
        <f t="shared" si="0"/>
        <v>0</v>
      </c>
      <c r="AH55" s="13">
        <f t="shared" si="1"/>
        <v>0</v>
      </c>
    </row>
    <row r="56" spans="1:34" ht="21.9" customHeight="1" x14ac:dyDescent="0.3">
      <c r="A56" s="16">
        <v>2059</v>
      </c>
      <c r="C56" s="17">
        <v>0</v>
      </c>
      <c r="E56" s="17">
        <v>0</v>
      </c>
      <c r="G56" s="17">
        <v>0</v>
      </c>
      <c r="I56" s="17">
        <v>0</v>
      </c>
      <c r="K56" s="18">
        <v>0</v>
      </c>
      <c r="M56" s="18">
        <v>0</v>
      </c>
      <c r="O56" s="17">
        <v>0</v>
      </c>
      <c r="Q56" s="17">
        <v>0</v>
      </c>
      <c r="S56" s="17">
        <v>0</v>
      </c>
      <c r="U56" s="17">
        <v>0</v>
      </c>
      <c r="W56" s="17">
        <v>0</v>
      </c>
      <c r="Y56" s="17">
        <v>0</v>
      </c>
      <c r="AA56" s="17">
        <v>0</v>
      </c>
      <c r="AC56" s="17">
        <v>0</v>
      </c>
      <c r="AE56" s="17">
        <v>0</v>
      </c>
      <c r="AG56" s="13">
        <f t="shared" si="0"/>
        <v>0</v>
      </c>
      <c r="AH56" s="13">
        <f t="shared" si="1"/>
        <v>0</v>
      </c>
    </row>
    <row r="57" spans="1:34" x14ac:dyDescent="0.3">
      <c r="A57" s="16">
        <v>2060</v>
      </c>
      <c r="C57" s="19">
        <v>0</v>
      </c>
      <c r="E57" s="19">
        <v>0</v>
      </c>
      <c r="G57" s="19">
        <v>0</v>
      </c>
      <c r="I57" s="19">
        <v>0</v>
      </c>
      <c r="K57" s="18">
        <v>0</v>
      </c>
      <c r="M57" s="18">
        <v>0</v>
      </c>
      <c r="O57" s="19">
        <v>0</v>
      </c>
      <c r="Q57" s="19">
        <v>0</v>
      </c>
      <c r="S57" s="19">
        <v>0</v>
      </c>
      <c r="U57" s="19">
        <v>0</v>
      </c>
      <c r="W57" s="19">
        <v>0</v>
      </c>
      <c r="Y57" s="19">
        <v>0</v>
      </c>
      <c r="AA57" s="19">
        <v>0</v>
      </c>
      <c r="AC57" s="19">
        <v>0</v>
      </c>
      <c r="AE57" s="19">
        <v>0</v>
      </c>
      <c r="AG57" s="13">
        <f t="shared" si="0"/>
        <v>0</v>
      </c>
      <c r="AH57" s="13">
        <f t="shared" si="1"/>
        <v>0</v>
      </c>
    </row>
    <row r="58" spans="1:34" x14ac:dyDescent="0.3">
      <c r="AG58" s="13"/>
      <c r="AH58" s="13"/>
    </row>
    <row r="59" spans="1:34" x14ac:dyDescent="0.3">
      <c r="A59" s="231" t="s">
        <v>2</v>
      </c>
      <c r="C59" s="232">
        <v>64599</v>
      </c>
      <c r="E59" s="232">
        <v>0</v>
      </c>
      <c r="G59" s="232">
        <v>64599</v>
      </c>
      <c r="I59" s="232">
        <v>0</v>
      </c>
      <c r="O59" s="232">
        <v>3746718</v>
      </c>
      <c r="Q59" s="232">
        <v>0</v>
      </c>
      <c r="S59" s="232">
        <v>251575</v>
      </c>
      <c r="U59" s="232">
        <v>1392000</v>
      </c>
      <c r="W59" s="232">
        <v>319000</v>
      </c>
      <c r="Y59" s="232">
        <v>93100</v>
      </c>
      <c r="AA59" s="232">
        <v>0</v>
      </c>
      <c r="AC59" s="232">
        <v>1691043</v>
      </c>
      <c r="AE59" s="232">
        <v>1135310</v>
      </c>
      <c r="AG59" s="13"/>
      <c r="AH59" s="13"/>
    </row>
    <row r="60" spans="1:34" x14ac:dyDescent="0.3">
      <c r="AG60" s="13"/>
      <c r="AH60" s="13"/>
    </row>
    <row r="61" spans="1:34" ht="21.9" customHeight="1" x14ac:dyDescent="0.3">
      <c r="A61" t="s">
        <v>47</v>
      </c>
      <c r="AC61" s="228" t="s">
        <v>729</v>
      </c>
      <c r="AD61" s="15"/>
      <c r="AE61" s="15"/>
      <c r="AG61" s="13"/>
      <c r="AH61" s="13"/>
    </row>
    <row r="62" spans="1:34" x14ac:dyDescent="0.3">
      <c r="A62" t="s">
        <v>82</v>
      </c>
      <c r="AC62" s="20" t="s">
        <v>48</v>
      </c>
      <c r="AE62" s="17">
        <v>1375497</v>
      </c>
      <c r="AG62" s="13"/>
      <c r="AH62" s="13"/>
    </row>
    <row r="63" spans="1:34" x14ac:dyDescent="0.3">
      <c r="A63" t="s">
        <v>83</v>
      </c>
      <c r="AC63" s="20" t="s">
        <v>49</v>
      </c>
      <c r="AE63" s="17">
        <v>951938</v>
      </c>
      <c r="AG63" s="13"/>
      <c r="AH63" s="13"/>
    </row>
    <row r="64" spans="1:34" x14ac:dyDescent="0.3">
      <c r="A64" t="s">
        <v>84</v>
      </c>
      <c r="AC64" s="20" t="s">
        <v>50</v>
      </c>
      <c r="AE64" s="17">
        <v>810536</v>
      </c>
      <c r="AG64" s="13"/>
      <c r="AH64" s="13"/>
    </row>
    <row r="65" spans="1:1" ht="8.1" customHeight="1" x14ac:dyDescent="0.3">
      <c r="A65" t="s">
        <v>85</v>
      </c>
    </row>
    <row r="66" spans="1:1" x14ac:dyDescent="0.3">
      <c r="A66" t="s">
        <v>730</v>
      </c>
    </row>
    <row r="67" spans="1:1" x14ac:dyDescent="0.3">
      <c r="A67" s="233" t="s">
        <v>731</v>
      </c>
    </row>
  </sheetData>
  <printOptions horizontalCentered="1"/>
  <pageMargins left="0.5" right="0.3" top="0.75" bottom="0.75" header="0.5" footer="0.5"/>
  <pageSetup paperSize="160" scale="4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511D0-6326-4867-A879-769F04D09397}">
  <sheetPr>
    <tabColor rgb="FF7030A0"/>
    <pageSetUpPr fitToPage="1"/>
  </sheetPr>
  <dimension ref="A1:AH67"/>
  <sheetViews>
    <sheetView showGridLines="0" topLeftCell="A53" zoomScaleNormal="100" zoomScaleSheetLayoutView="85" workbookViewId="0">
      <selection activeCell="AE46" sqref="AE46"/>
    </sheetView>
  </sheetViews>
  <sheetFormatPr defaultRowHeight="14.4" x14ac:dyDescent="0.3"/>
  <cols>
    <col min="1" max="1" width="6" bestFit="1" customWidth="1"/>
    <col min="2" max="2" width="1.6640625" customWidth="1"/>
    <col min="3" max="3" width="9.5546875" customWidth="1"/>
    <col min="4" max="4" width="1.6640625" customWidth="1"/>
    <col min="5" max="5" width="9.5546875" customWidth="1"/>
    <col min="6" max="6" width="1.6640625" customWidth="1"/>
    <col min="7" max="7" width="9.5546875" customWidth="1"/>
    <col min="8" max="8" width="1.6640625" customWidth="1"/>
    <col min="9" max="9" width="9.5546875" customWidth="1"/>
    <col min="10" max="10" width="1.6640625" customWidth="1"/>
    <col min="11" max="11" width="13.33203125" customWidth="1"/>
    <col min="12" max="12" width="1.6640625" customWidth="1"/>
    <col min="13" max="13" width="13.33203125" bestFit="1" customWidth="1"/>
    <col min="14" max="14" width="1.6640625" customWidth="1"/>
    <col min="15" max="15" width="14.5546875" customWidth="1"/>
    <col min="16" max="16" width="1.6640625" customWidth="1"/>
    <col min="17" max="17" width="14.5546875" hidden="1" customWidth="1"/>
    <col min="18" max="18" width="1.6640625" hidden="1" customWidth="1"/>
    <col min="19" max="19" width="14.5546875" customWidth="1"/>
    <col min="20" max="20" width="1.6640625" customWidth="1"/>
    <col min="21" max="21" width="14.5546875" customWidth="1"/>
    <col min="22" max="22" width="1.6640625" customWidth="1"/>
    <col min="23" max="23" width="14.5546875" customWidth="1"/>
    <col min="24" max="24" width="1.6640625" customWidth="1"/>
    <col min="25" max="25" width="14.5546875" bestFit="1" customWidth="1"/>
    <col min="26" max="26" width="1.6640625" customWidth="1"/>
    <col min="27" max="27" width="14.5546875" customWidth="1"/>
    <col min="28" max="28" width="1.6640625" customWidth="1"/>
    <col min="29" max="29" width="14.5546875" customWidth="1"/>
    <col min="30" max="30" width="1.6640625" customWidth="1"/>
    <col min="31" max="31" width="14.5546875" customWidth="1"/>
  </cols>
  <sheetData>
    <row r="1" spans="1:34" x14ac:dyDescent="0.3">
      <c r="A1" s="226" t="s">
        <v>60</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row>
    <row r="2" spans="1:34" x14ac:dyDescent="0.3">
      <c r="A2" s="226" t="s">
        <v>65</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spans="1:34" x14ac:dyDescent="0.3">
      <c r="A3" s="226" t="s">
        <v>24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row>
    <row r="4" spans="1:34" x14ac:dyDescent="0.3">
      <c r="A4" s="226" t="s">
        <v>718</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row>
    <row r="5" spans="1:34" x14ac:dyDescent="0.3">
      <c r="A5" s="226" t="s">
        <v>62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row>
    <row r="6" spans="1:34" x14ac:dyDescent="0.3">
      <c r="A6" s="226" t="s">
        <v>88</v>
      </c>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row>
    <row r="7" spans="1:34" x14ac:dyDescent="0.3">
      <c r="A7" s="226" t="s">
        <v>25</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spans="1:34" x14ac:dyDescent="0.3">
      <c r="A8" s="226" t="s">
        <v>26</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spans="1:34" x14ac:dyDescent="0.3">
      <c r="A9" s="226" t="s">
        <v>27</v>
      </c>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row>
    <row r="10" spans="1:34" x14ac:dyDescent="0.3">
      <c r="A10" s="226" t="s">
        <v>719</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row>
    <row r="11" spans="1:34" x14ac:dyDescent="0.3">
      <c r="A11" s="226" t="s">
        <v>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row>
    <row r="12" spans="1:34" x14ac:dyDescent="0.3">
      <c r="A12" s="226" t="s">
        <v>5</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row>
    <row r="13" spans="1:34" x14ac:dyDescent="0.3">
      <c r="A13" s="226" t="s">
        <v>5</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spans="1:34" x14ac:dyDescent="0.3">
      <c r="K14" s="227"/>
      <c r="L14" s="14"/>
      <c r="M14" s="14"/>
    </row>
    <row r="15" spans="1:34" x14ac:dyDescent="0.3">
      <c r="C15" s="227" t="s">
        <v>31</v>
      </c>
      <c r="D15" s="14"/>
      <c r="E15" s="14"/>
      <c r="G15" s="227" t="s">
        <v>37</v>
      </c>
      <c r="H15" s="14"/>
      <c r="I15" s="14"/>
      <c r="K15" s="227" t="s">
        <v>76</v>
      </c>
      <c r="L15" s="14"/>
      <c r="M15" s="14"/>
    </row>
    <row r="16" spans="1:34" x14ac:dyDescent="0.3">
      <c r="C16" s="228" t="s">
        <v>52</v>
      </c>
      <c r="D16" s="15"/>
      <c r="E16" s="15"/>
      <c r="G16" s="228" t="s">
        <v>52</v>
      </c>
      <c r="H16" s="15"/>
      <c r="I16" s="15"/>
      <c r="K16" s="228" t="s">
        <v>77</v>
      </c>
      <c r="L16" s="15"/>
      <c r="M16" s="15"/>
      <c r="O16" s="229" t="s">
        <v>28</v>
      </c>
      <c r="S16" s="229" t="s">
        <v>14</v>
      </c>
      <c r="AC16" s="229" t="s">
        <v>28</v>
      </c>
      <c r="AE16" s="229" t="s">
        <v>29</v>
      </c>
      <c r="AG16" s="9" t="s">
        <v>14</v>
      </c>
      <c r="AH16" s="9"/>
    </row>
    <row r="17" spans="1:34" x14ac:dyDescent="0.3">
      <c r="E17" s="229" t="s">
        <v>30</v>
      </c>
      <c r="I17" s="229" t="s">
        <v>30</v>
      </c>
      <c r="M17" s="229" t="s">
        <v>30</v>
      </c>
      <c r="O17" s="229" t="s">
        <v>31</v>
      </c>
      <c r="S17" s="229" t="s">
        <v>33</v>
      </c>
      <c r="U17" s="229" t="s">
        <v>34</v>
      </c>
      <c r="W17" s="229" t="s">
        <v>35</v>
      </c>
      <c r="Y17" s="229" t="s">
        <v>36</v>
      </c>
      <c r="AC17" s="229" t="s">
        <v>37</v>
      </c>
      <c r="AE17" s="229" t="s">
        <v>38</v>
      </c>
      <c r="AG17" s="9" t="s">
        <v>33</v>
      </c>
      <c r="AH17" s="9"/>
    </row>
    <row r="18" spans="1:34" x14ac:dyDescent="0.3">
      <c r="C18" s="229" t="s">
        <v>39</v>
      </c>
      <c r="E18" s="229" t="s">
        <v>40</v>
      </c>
      <c r="G18" s="229" t="s">
        <v>39</v>
      </c>
      <c r="I18" s="229" t="s">
        <v>40</v>
      </c>
      <c r="K18" s="229" t="s">
        <v>39</v>
      </c>
      <c r="M18" s="229" t="s">
        <v>40</v>
      </c>
      <c r="O18" s="229" t="s">
        <v>41</v>
      </c>
      <c r="Q18" s="229" t="s">
        <v>720</v>
      </c>
      <c r="S18" s="229" t="s">
        <v>32</v>
      </c>
      <c r="U18" s="229" t="s">
        <v>42</v>
      </c>
      <c r="W18" s="229" t="s">
        <v>43</v>
      </c>
      <c r="Y18" s="229" t="s">
        <v>78</v>
      </c>
      <c r="AA18" s="229" t="s">
        <v>44</v>
      </c>
      <c r="AC18" s="229" t="s">
        <v>41</v>
      </c>
      <c r="AE18" s="229" t="s">
        <v>45</v>
      </c>
      <c r="AG18" s="9" t="s">
        <v>32</v>
      </c>
      <c r="AH18" s="9" t="s">
        <v>44</v>
      </c>
    </row>
    <row r="19" spans="1:34" ht="17.25" customHeight="1" x14ac:dyDescent="0.3">
      <c r="A19" s="230" t="s">
        <v>1</v>
      </c>
      <c r="C19" s="230" t="s">
        <v>723</v>
      </c>
      <c r="E19" s="230" t="s">
        <v>724</v>
      </c>
      <c r="G19" s="230" t="s">
        <v>723</v>
      </c>
      <c r="I19" s="230" t="s">
        <v>724</v>
      </c>
      <c r="K19" s="230" t="s">
        <v>46</v>
      </c>
      <c r="M19" s="230" t="s">
        <v>725</v>
      </c>
      <c r="O19" s="230" t="s">
        <v>728</v>
      </c>
      <c r="Q19" s="230" t="s">
        <v>728</v>
      </c>
      <c r="S19" s="230" t="s">
        <v>728</v>
      </c>
      <c r="U19" s="230" t="s">
        <v>728</v>
      </c>
      <c r="W19" s="230" t="s">
        <v>728</v>
      </c>
      <c r="Y19" s="230" t="s">
        <v>728</v>
      </c>
      <c r="AA19" s="230" t="s">
        <v>728</v>
      </c>
      <c r="AC19" s="230" t="s">
        <v>728</v>
      </c>
      <c r="AE19" s="230" t="s">
        <v>728</v>
      </c>
      <c r="AG19" s="10" t="s">
        <v>71</v>
      </c>
      <c r="AH19" s="10" t="s">
        <v>71</v>
      </c>
    </row>
    <row r="20" spans="1:34" ht="15" customHeight="1" x14ac:dyDescent="0.3">
      <c r="AG20" s="8"/>
      <c r="AH20" s="8"/>
    </row>
    <row r="21" spans="1:34" ht="15" customHeight="1" x14ac:dyDescent="0.3">
      <c r="A21" s="16">
        <v>2024</v>
      </c>
      <c r="C21" s="17">
        <v>6102</v>
      </c>
      <c r="E21" s="17">
        <v>0</v>
      </c>
      <c r="G21" s="17">
        <v>6102</v>
      </c>
      <c r="I21" s="17">
        <v>0</v>
      </c>
      <c r="K21" s="18">
        <v>58</v>
      </c>
      <c r="M21" s="18">
        <v>0</v>
      </c>
      <c r="O21" s="17">
        <v>353953</v>
      </c>
      <c r="Q21" s="17">
        <v>0</v>
      </c>
      <c r="S21" s="17">
        <v>23094</v>
      </c>
      <c r="U21" s="17">
        <v>87000</v>
      </c>
      <c r="W21" s="17">
        <v>32500</v>
      </c>
      <c r="Y21" s="17">
        <v>0</v>
      </c>
      <c r="AA21" s="17">
        <v>0</v>
      </c>
      <c r="AC21" s="17">
        <v>211359</v>
      </c>
      <c r="AE21" s="17">
        <v>200342</v>
      </c>
      <c r="AG21" s="13">
        <f t="shared" ref="AG21:AG57" si="0">IFERROR(S21/O21,0)</f>
        <v>6.5245950733571978E-2</v>
      </c>
      <c r="AH21" s="13">
        <f t="shared" ref="AH21:AH57" si="1">IFERROR(AA21/O21,0)</f>
        <v>0</v>
      </c>
    </row>
    <row r="22" spans="1:34" ht="15" customHeight="1" x14ac:dyDescent="0.3">
      <c r="A22" s="16">
        <v>2025</v>
      </c>
      <c r="C22" s="17">
        <v>7456</v>
      </c>
      <c r="E22" s="17">
        <v>0</v>
      </c>
      <c r="G22" s="17">
        <v>7456</v>
      </c>
      <c r="I22" s="17">
        <v>0</v>
      </c>
      <c r="K22" s="18">
        <v>58</v>
      </c>
      <c r="M22" s="18">
        <v>0</v>
      </c>
      <c r="O22" s="17">
        <v>432441</v>
      </c>
      <c r="Q22" s="17">
        <v>0</v>
      </c>
      <c r="S22" s="17">
        <v>25830</v>
      </c>
      <c r="U22" s="17">
        <v>87000</v>
      </c>
      <c r="W22" s="17">
        <v>53000</v>
      </c>
      <c r="Y22" s="17">
        <v>0</v>
      </c>
      <c r="AA22" s="17">
        <v>286</v>
      </c>
      <c r="AC22" s="17">
        <v>266325</v>
      </c>
      <c r="AE22" s="17">
        <v>228514</v>
      </c>
      <c r="AG22" s="13">
        <f t="shared" si="0"/>
        <v>5.9730691585672957E-2</v>
      </c>
      <c r="AH22" s="13">
        <f t="shared" si="1"/>
        <v>6.6136189676742026E-4</v>
      </c>
    </row>
    <row r="23" spans="1:34" ht="15" customHeight="1" x14ac:dyDescent="0.3">
      <c r="A23" s="16">
        <v>2026</v>
      </c>
      <c r="C23" s="17">
        <v>7760</v>
      </c>
      <c r="E23" s="17">
        <v>0</v>
      </c>
      <c r="G23" s="17">
        <v>7760</v>
      </c>
      <c r="I23" s="17">
        <v>0</v>
      </c>
      <c r="K23" s="18">
        <v>58</v>
      </c>
      <c r="M23" s="18">
        <v>0</v>
      </c>
      <c r="O23" s="17">
        <v>449984</v>
      </c>
      <c r="Q23" s="17">
        <v>0</v>
      </c>
      <c r="S23" s="17">
        <v>26041</v>
      </c>
      <c r="U23" s="17">
        <v>87000</v>
      </c>
      <c r="W23" s="17">
        <v>78500</v>
      </c>
      <c r="Y23" s="17">
        <v>0</v>
      </c>
      <c r="AA23" s="17">
        <v>1276</v>
      </c>
      <c r="AC23" s="17">
        <v>257166</v>
      </c>
      <c r="AE23" s="17">
        <v>199741</v>
      </c>
      <c r="AG23" s="13">
        <f t="shared" si="0"/>
        <v>5.7870946522543022E-2</v>
      </c>
      <c r="AH23" s="13">
        <f t="shared" si="1"/>
        <v>2.8356563788934719E-3</v>
      </c>
    </row>
    <row r="24" spans="1:34" ht="15" customHeight="1" x14ac:dyDescent="0.3">
      <c r="A24" s="16">
        <v>2027</v>
      </c>
      <c r="C24" s="17">
        <v>8092</v>
      </c>
      <c r="E24" s="17">
        <v>0</v>
      </c>
      <c r="G24" s="17">
        <v>8092</v>
      </c>
      <c r="I24" s="17">
        <v>0</v>
      </c>
      <c r="K24" s="18">
        <v>58</v>
      </c>
      <c r="M24" s="18">
        <v>0</v>
      </c>
      <c r="O24" s="17">
        <v>469586</v>
      </c>
      <c r="Q24" s="17">
        <v>0</v>
      </c>
      <c r="S24" s="17">
        <v>26443</v>
      </c>
      <c r="U24" s="17">
        <v>87000</v>
      </c>
      <c r="W24" s="17">
        <v>15500</v>
      </c>
      <c r="Y24" s="17">
        <v>0</v>
      </c>
      <c r="AA24" s="17">
        <v>2358</v>
      </c>
      <c r="AC24" s="17">
        <v>338286</v>
      </c>
      <c r="AE24" s="17">
        <v>237841</v>
      </c>
      <c r="AG24" s="13">
        <f t="shared" si="0"/>
        <v>5.6311303999693349E-2</v>
      </c>
      <c r="AH24" s="13">
        <f t="shared" si="1"/>
        <v>5.0214444212561705E-3</v>
      </c>
    </row>
    <row r="25" spans="1:34" ht="15" customHeight="1" x14ac:dyDescent="0.3">
      <c r="A25" s="16">
        <v>2028</v>
      </c>
      <c r="C25" s="17">
        <v>7439</v>
      </c>
      <c r="E25" s="17">
        <v>0</v>
      </c>
      <c r="G25" s="17">
        <v>7439</v>
      </c>
      <c r="I25" s="17">
        <v>0</v>
      </c>
      <c r="K25" s="18">
        <v>58</v>
      </c>
      <c r="M25" s="18">
        <v>0</v>
      </c>
      <c r="O25" s="17">
        <v>431298</v>
      </c>
      <c r="Q25" s="17">
        <v>0</v>
      </c>
      <c r="S25" s="17">
        <v>24444</v>
      </c>
      <c r="U25" s="17">
        <v>87000</v>
      </c>
      <c r="W25" s="17">
        <v>15500</v>
      </c>
      <c r="Y25" s="17">
        <v>0</v>
      </c>
      <c r="AA25" s="17">
        <v>172</v>
      </c>
      <c r="AC25" s="17">
        <v>304181</v>
      </c>
      <c r="AE25" s="17">
        <v>193591</v>
      </c>
      <c r="AG25" s="13">
        <f t="shared" si="0"/>
        <v>5.667543090855974E-2</v>
      </c>
      <c r="AH25" s="13">
        <f t="shared" si="1"/>
        <v>3.9879619196008328E-4</v>
      </c>
    </row>
    <row r="26" spans="1:34" ht="21" customHeight="1" x14ac:dyDescent="0.3">
      <c r="A26" s="16">
        <v>2029</v>
      </c>
      <c r="C26" s="17">
        <v>6799</v>
      </c>
      <c r="E26" s="17">
        <v>0</v>
      </c>
      <c r="G26" s="17">
        <v>6799</v>
      </c>
      <c r="I26" s="17">
        <v>0</v>
      </c>
      <c r="K26" s="18">
        <v>58</v>
      </c>
      <c r="M26" s="18">
        <v>0</v>
      </c>
      <c r="O26" s="17">
        <v>394584</v>
      </c>
      <c r="Q26" s="17">
        <v>0</v>
      </c>
      <c r="S26" s="17">
        <v>22580</v>
      </c>
      <c r="U26" s="17">
        <v>87000</v>
      </c>
      <c r="W26" s="17">
        <v>15500</v>
      </c>
      <c r="Y26" s="17">
        <v>0</v>
      </c>
      <c r="AA26" s="17">
        <v>0</v>
      </c>
      <c r="AC26" s="17">
        <v>269505</v>
      </c>
      <c r="AE26" s="17">
        <v>155264</v>
      </c>
      <c r="AG26" s="13">
        <f t="shared" si="0"/>
        <v>5.7224824118565373E-2</v>
      </c>
      <c r="AH26" s="13">
        <f t="shared" si="1"/>
        <v>0</v>
      </c>
    </row>
    <row r="27" spans="1:34" ht="15" customHeight="1" x14ac:dyDescent="0.3">
      <c r="A27" s="16">
        <v>2030</v>
      </c>
      <c r="C27" s="17">
        <v>6258</v>
      </c>
      <c r="E27" s="17">
        <v>0</v>
      </c>
      <c r="G27" s="17">
        <v>6258</v>
      </c>
      <c r="I27" s="17">
        <v>0</v>
      </c>
      <c r="K27" s="18">
        <v>58</v>
      </c>
      <c r="M27" s="18">
        <v>0</v>
      </c>
      <c r="O27" s="17">
        <v>362564</v>
      </c>
      <c r="Q27" s="17">
        <v>0</v>
      </c>
      <c r="S27" s="17">
        <v>20922</v>
      </c>
      <c r="U27" s="17">
        <v>87000</v>
      </c>
      <c r="W27" s="17">
        <v>15500</v>
      </c>
      <c r="Y27" s="17">
        <v>0</v>
      </c>
      <c r="AA27" s="17">
        <v>0</v>
      </c>
      <c r="AC27" s="17">
        <v>239142</v>
      </c>
      <c r="AE27" s="17">
        <v>124713</v>
      </c>
      <c r="AG27" s="13">
        <f t="shared" si="0"/>
        <v>5.7705674032722497E-2</v>
      </c>
      <c r="AH27" s="13">
        <f t="shared" si="1"/>
        <v>0</v>
      </c>
    </row>
    <row r="28" spans="1:34" ht="15" customHeight="1" x14ac:dyDescent="0.3">
      <c r="A28" s="16">
        <v>2031</v>
      </c>
      <c r="C28" s="17">
        <v>5748</v>
      </c>
      <c r="E28" s="17">
        <v>0</v>
      </c>
      <c r="G28" s="17">
        <v>5748</v>
      </c>
      <c r="I28" s="17">
        <v>0</v>
      </c>
      <c r="K28" s="18">
        <v>58</v>
      </c>
      <c r="M28" s="18">
        <v>0</v>
      </c>
      <c r="O28" s="17">
        <v>333616</v>
      </c>
      <c r="Q28" s="17">
        <v>0</v>
      </c>
      <c r="S28" s="17">
        <v>19444</v>
      </c>
      <c r="U28" s="17">
        <v>87000</v>
      </c>
      <c r="W28" s="17">
        <v>15500</v>
      </c>
      <c r="Y28" s="17">
        <v>0</v>
      </c>
      <c r="AA28" s="17">
        <v>0</v>
      </c>
      <c r="AC28" s="17">
        <v>211671</v>
      </c>
      <c r="AE28" s="17">
        <v>99923</v>
      </c>
      <c r="AG28" s="13">
        <f t="shared" si="0"/>
        <v>5.8282576375233805E-2</v>
      </c>
      <c r="AH28" s="13">
        <f t="shared" si="1"/>
        <v>0</v>
      </c>
    </row>
    <row r="29" spans="1:34" ht="15" customHeight="1" x14ac:dyDescent="0.3">
      <c r="A29" s="16">
        <v>2032</v>
      </c>
      <c r="C29" s="17">
        <v>5316</v>
      </c>
      <c r="E29" s="17">
        <v>0</v>
      </c>
      <c r="G29" s="17">
        <v>5316</v>
      </c>
      <c r="I29" s="17">
        <v>0</v>
      </c>
      <c r="K29" s="18">
        <v>58</v>
      </c>
      <c r="M29" s="18">
        <v>0</v>
      </c>
      <c r="O29" s="17">
        <v>308207</v>
      </c>
      <c r="Q29" s="17">
        <v>0</v>
      </c>
      <c r="S29" s="17">
        <v>18145</v>
      </c>
      <c r="U29" s="17">
        <v>87000</v>
      </c>
      <c r="W29" s="17">
        <v>15500</v>
      </c>
      <c r="Y29" s="17">
        <v>0</v>
      </c>
      <c r="AA29" s="17">
        <v>0</v>
      </c>
      <c r="AC29" s="17">
        <v>187563</v>
      </c>
      <c r="AE29" s="17">
        <v>80150</v>
      </c>
      <c r="AG29" s="13">
        <f t="shared" si="0"/>
        <v>5.8872770573023973E-2</v>
      </c>
      <c r="AH29" s="13">
        <f t="shared" si="1"/>
        <v>0</v>
      </c>
    </row>
    <row r="30" spans="1:34" ht="15" customHeight="1" x14ac:dyDescent="0.3">
      <c r="A30" s="16">
        <v>2033</v>
      </c>
      <c r="C30" s="17">
        <v>4884</v>
      </c>
      <c r="E30" s="17">
        <v>0</v>
      </c>
      <c r="G30" s="17">
        <v>4884</v>
      </c>
      <c r="I30" s="17">
        <v>0</v>
      </c>
      <c r="K30" s="18">
        <v>58</v>
      </c>
      <c r="M30" s="18">
        <v>0</v>
      </c>
      <c r="O30" s="17">
        <v>283553</v>
      </c>
      <c r="Q30" s="17">
        <v>0</v>
      </c>
      <c r="S30" s="17">
        <v>16912</v>
      </c>
      <c r="U30" s="17">
        <v>87000</v>
      </c>
      <c r="W30" s="17">
        <v>15500</v>
      </c>
      <c r="Y30" s="17">
        <v>0</v>
      </c>
      <c r="AA30" s="17">
        <v>0</v>
      </c>
      <c r="AC30" s="17">
        <v>164141</v>
      </c>
      <c r="AE30" s="17">
        <v>63492</v>
      </c>
      <c r="AG30" s="13">
        <f t="shared" si="0"/>
        <v>5.9643170765253765E-2</v>
      </c>
      <c r="AH30" s="13">
        <f t="shared" si="1"/>
        <v>0</v>
      </c>
    </row>
    <row r="31" spans="1:34" ht="21" customHeight="1" x14ac:dyDescent="0.3">
      <c r="A31" s="16">
        <v>2034</v>
      </c>
      <c r="C31" s="17">
        <v>4522</v>
      </c>
      <c r="E31" s="17">
        <v>0</v>
      </c>
      <c r="G31" s="17">
        <v>4522</v>
      </c>
      <c r="I31" s="17">
        <v>0</v>
      </c>
      <c r="K31" s="18">
        <v>58</v>
      </c>
      <c r="M31" s="18">
        <v>0</v>
      </c>
      <c r="O31" s="17">
        <v>261952</v>
      </c>
      <c r="Q31" s="17">
        <v>0</v>
      </c>
      <c r="S31" s="17">
        <v>15550</v>
      </c>
      <c r="U31" s="17">
        <v>87000</v>
      </c>
      <c r="W31" s="17">
        <v>15500</v>
      </c>
      <c r="Y31" s="17">
        <v>0</v>
      </c>
      <c r="AA31" s="17">
        <v>0</v>
      </c>
      <c r="AC31" s="17">
        <v>143901</v>
      </c>
      <c r="AE31" s="17">
        <v>50388</v>
      </c>
      <c r="AG31" s="13">
        <f t="shared" si="0"/>
        <v>5.9362020522843881E-2</v>
      </c>
      <c r="AH31" s="13">
        <f t="shared" si="1"/>
        <v>0</v>
      </c>
    </row>
    <row r="32" spans="1:34" ht="15" customHeight="1" x14ac:dyDescent="0.3">
      <c r="A32" s="16">
        <v>2035</v>
      </c>
      <c r="C32" s="17">
        <v>4178</v>
      </c>
      <c r="E32" s="17">
        <v>0</v>
      </c>
      <c r="G32" s="17">
        <v>4178</v>
      </c>
      <c r="I32" s="17">
        <v>0</v>
      </c>
      <c r="K32" s="18">
        <v>58</v>
      </c>
      <c r="M32" s="18">
        <v>0</v>
      </c>
      <c r="O32" s="17">
        <v>242296</v>
      </c>
      <c r="Q32" s="17">
        <v>0</v>
      </c>
      <c r="S32" s="17">
        <v>20596</v>
      </c>
      <c r="U32" s="17">
        <v>87000</v>
      </c>
      <c r="W32" s="17">
        <v>15500</v>
      </c>
      <c r="Y32" s="17">
        <v>0</v>
      </c>
      <c r="AA32" s="17">
        <v>0</v>
      </c>
      <c r="AC32" s="17">
        <v>119201</v>
      </c>
      <c r="AE32" s="17">
        <v>37782</v>
      </c>
      <c r="AG32" s="13">
        <f t="shared" si="0"/>
        <v>8.5003466833955169E-2</v>
      </c>
      <c r="AH32" s="13">
        <f t="shared" si="1"/>
        <v>0</v>
      </c>
    </row>
    <row r="33" spans="1:34" ht="15" customHeight="1" x14ac:dyDescent="0.3">
      <c r="A33" s="16">
        <v>2036</v>
      </c>
      <c r="C33" s="17">
        <v>3873</v>
      </c>
      <c r="E33" s="17">
        <v>0</v>
      </c>
      <c r="G33" s="17">
        <v>3873</v>
      </c>
      <c r="I33" s="17">
        <v>0</v>
      </c>
      <c r="K33" s="18">
        <v>58</v>
      </c>
      <c r="M33" s="18">
        <v>0</v>
      </c>
      <c r="O33" s="17">
        <v>224979</v>
      </c>
      <c r="Q33" s="17">
        <v>0</v>
      </c>
      <c r="S33" s="17">
        <v>19123</v>
      </c>
      <c r="U33" s="17">
        <v>87000</v>
      </c>
      <c r="W33" s="17">
        <v>15500</v>
      </c>
      <c r="Y33" s="17">
        <v>0</v>
      </c>
      <c r="AA33" s="17">
        <v>0</v>
      </c>
      <c r="AC33" s="17">
        <v>103356</v>
      </c>
      <c r="AE33" s="17">
        <v>29655</v>
      </c>
      <c r="AG33" s="13">
        <f t="shared" si="0"/>
        <v>8.4999044355250936E-2</v>
      </c>
      <c r="AH33" s="13">
        <f t="shared" si="1"/>
        <v>0</v>
      </c>
    </row>
    <row r="34" spans="1:34" ht="15" customHeight="1" x14ac:dyDescent="0.3">
      <c r="A34" s="16">
        <v>2037</v>
      </c>
      <c r="C34" s="17">
        <v>3585</v>
      </c>
      <c r="E34" s="17">
        <v>0</v>
      </c>
      <c r="G34" s="17">
        <v>3585</v>
      </c>
      <c r="I34" s="17">
        <v>0</v>
      </c>
      <c r="K34" s="18">
        <v>58</v>
      </c>
      <c r="M34" s="18">
        <v>0</v>
      </c>
      <c r="O34" s="17">
        <v>208007</v>
      </c>
      <c r="Q34" s="17">
        <v>0</v>
      </c>
      <c r="S34" s="17">
        <v>17680</v>
      </c>
      <c r="U34" s="17">
        <v>87000</v>
      </c>
      <c r="W34" s="17">
        <v>15500</v>
      </c>
      <c r="Y34" s="17">
        <v>0</v>
      </c>
      <c r="AA34" s="17">
        <v>0</v>
      </c>
      <c r="AC34" s="17">
        <v>87826</v>
      </c>
      <c r="AE34" s="17">
        <v>22810</v>
      </c>
      <c r="AG34" s="13">
        <f t="shared" si="0"/>
        <v>8.4997139519343096E-2</v>
      </c>
      <c r="AH34" s="13">
        <f t="shared" si="1"/>
        <v>0</v>
      </c>
    </row>
    <row r="35" spans="1:34" ht="15" customHeight="1" x14ac:dyDescent="0.3">
      <c r="A35" s="16">
        <v>2038</v>
      </c>
      <c r="C35" s="17">
        <v>3329</v>
      </c>
      <c r="E35" s="17">
        <v>0</v>
      </c>
      <c r="G35" s="17">
        <v>3329</v>
      </c>
      <c r="I35" s="17">
        <v>0</v>
      </c>
      <c r="K35" s="18">
        <v>58</v>
      </c>
      <c r="M35" s="18">
        <v>0</v>
      </c>
      <c r="O35" s="17">
        <v>193086</v>
      </c>
      <c r="Q35" s="17">
        <v>0</v>
      </c>
      <c r="S35" s="17">
        <v>16413</v>
      </c>
      <c r="U35" s="17">
        <v>87000</v>
      </c>
      <c r="W35" s="17">
        <v>15500</v>
      </c>
      <c r="Y35" s="17">
        <v>0</v>
      </c>
      <c r="AA35" s="17">
        <v>0</v>
      </c>
      <c r="AC35" s="17">
        <v>74174</v>
      </c>
      <c r="AE35" s="17">
        <v>17438</v>
      </c>
      <c r="AG35" s="13">
        <f t="shared" si="0"/>
        <v>8.5003573537180327E-2</v>
      </c>
      <c r="AH35" s="13">
        <f t="shared" si="1"/>
        <v>0</v>
      </c>
    </row>
    <row r="36" spans="1:34" ht="21" customHeight="1" x14ac:dyDescent="0.3">
      <c r="A36" s="16">
        <v>2039</v>
      </c>
      <c r="C36" s="17">
        <v>3097</v>
      </c>
      <c r="E36" s="17">
        <v>0</v>
      </c>
      <c r="G36" s="17">
        <v>3097</v>
      </c>
      <c r="I36" s="17">
        <v>0</v>
      </c>
      <c r="K36" s="18">
        <v>58</v>
      </c>
      <c r="M36" s="18">
        <v>0</v>
      </c>
      <c r="O36" s="17">
        <v>179439</v>
      </c>
      <c r="Q36" s="17">
        <v>0</v>
      </c>
      <c r="S36" s="17">
        <v>15252</v>
      </c>
      <c r="U36" s="17">
        <v>87000</v>
      </c>
      <c r="W36" s="17">
        <v>15500</v>
      </c>
      <c r="Y36" s="17">
        <v>0</v>
      </c>
      <c r="AA36" s="17">
        <v>0</v>
      </c>
      <c r="AC36" s="17">
        <v>61686</v>
      </c>
      <c r="AE36" s="17">
        <v>13128</v>
      </c>
      <c r="AG36" s="13">
        <f t="shared" si="0"/>
        <v>8.4998244528781366E-2</v>
      </c>
      <c r="AH36" s="13">
        <f t="shared" si="1"/>
        <v>0</v>
      </c>
    </row>
    <row r="37" spans="1:34" ht="15" customHeight="1" x14ac:dyDescent="0.3">
      <c r="A37" s="16">
        <v>2040</v>
      </c>
      <c r="C37" s="17">
        <v>2887</v>
      </c>
      <c r="E37" s="17">
        <v>0</v>
      </c>
      <c r="G37" s="17">
        <v>2887</v>
      </c>
      <c r="I37" s="17">
        <v>0</v>
      </c>
      <c r="K37" s="18">
        <v>58</v>
      </c>
      <c r="M37" s="18">
        <v>0</v>
      </c>
      <c r="O37" s="17">
        <v>167384</v>
      </c>
      <c r="Q37" s="17">
        <v>0</v>
      </c>
      <c r="S37" s="17">
        <v>14228</v>
      </c>
      <c r="U37" s="17">
        <v>87000</v>
      </c>
      <c r="W37" s="17">
        <v>15500</v>
      </c>
      <c r="Y37" s="17">
        <v>0</v>
      </c>
      <c r="AA37" s="17">
        <v>0</v>
      </c>
      <c r="AC37" s="17">
        <v>50657</v>
      </c>
      <c r="AE37" s="17">
        <v>9759</v>
      </c>
      <c r="AG37" s="13">
        <f t="shared" si="0"/>
        <v>8.5002150743201263E-2</v>
      </c>
      <c r="AH37" s="13">
        <f t="shared" si="1"/>
        <v>0</v>
      </c>
    </row>
    <row r="38" spans="1:34" ht="15" customHeight="1" x14ac:dyDescent="0.3">
      <c r="A38" s="16">
        <v>2041</v>
      </c>
      <c r="C38" s="17">
        <v>2684</v>
      </c>
      <c r="E38" s="17">
        <v>0</v>
      </c>
      <c r="G38" s="17">
        <v>2684</v>
      </c>
      <c r="I38" s="17">
        <v>0</v>
      </c>
      <c r="K38" s="18">
        <v>58</v>
      </c>
      <c r="M38" s="18">
        <v>0</v>
      </c>
      <c r="O38" s="17">
        <v>155458</v>
      </c>
      <c r="Q38" s="17">
        <v>0</v>
      </c>
      <c r="S38" s="17">
        <v>13214</v>
      </c>
      <c r="U38" s="17">
        <v>87000</v>
      </c>
      <c r="W38" s="17">
        <v>15500</v>
      </c>
      <c r="Y38" s="17">
        <v>0</v>
      </c>
      <c r="AA38" s="17">
        <v>0</v>
      </c>
      <c r="AC38" s="17">
        <v>39744</v>
      </c>
      <c r="AE38" s="17">
        <v>6931</v>
      </c>
      <c r="AG38" s="13">
        <f t="shared" si="0"/>
        <v>8.5000450282391379E-2</v>
      </c>
      <c r="AH38" s="13">
        <f t="shared" si="1"/>
        <v>0</v>
      </c>
    </row>
    <row r="39" spans="1:34" ht="15" customHeight="1" x14ac:dyDescent="0.3">
      <c r="A39" s="16">
        <v>2042</v>
      </c>
      <c r="C39" s="17">
        <v>2497</v>
      </c>
      <c r="E39" s="17">
        <v>0</v>
      </c>
      <c r="G39" s="17">
        <v>2497</v>
      </c>
      <c r="I39" s="17">
        <v>0</v>
      </c>
      <c r="K39" s="18">
        <v>58</v>
      </c>
      <c r="M39" s="18">
        <v>0</v>
      </c>
      <c r="O39" s="17">
        <v>144947</v>
      </c>
      <c r="Q39" s="17">
        <v>0</v>
      </c>
      <c r="S39" s="17">
        <v>12320</v>
      </c>
      <c r="U39" s="17">
        <v>87000</v>
      </c>
      <c r="W39" s="17">
        <v>15500</v>
      </c>
      <c r="Y39" s="17">
        <v>0</v>
      </c>
      <c r="AA39" s="17">
        <v>0</v>
      </c>
      <c r="AC39" s="17">
        <v>30127</v>
      </c>
      <c r="AE39" s="17">
        <v>4756</v>
      </c>
      <c r="AG39" s="13">
        <f t="shared" si="0"/>
        <v>8.4996584958640056E-2</v>
      </c>
      <c r="AH39" s="13">
        <f t="shared" si="1"/>
        <v>0</v>
      </c>
    </row>
    <row r="40" spans="1:34" ht="15" customHeight="1" x14ac:dyDescent="0.3">
      <c r="A40" s="16">
        <v>2043</v>
      </c>
      <c r="C40" s="17">
        <v>2329</v>
      </c>
      <c r="E40" s="17">
        <v>0</v>
      </c>
      <c r="G40" s="17">
        <v>2329</v>
      </c>
      <c r="I40" s="17">
        <v>0</v>
      </c>
      <c r="K40" s="18">
        <v>58</v>
      </c>
      <c r="M40" s="18">
        <v>0</v>
      </c>
      <c r="O40" s="17">
        <v>134875</v>
      </c>
      <c r="Q40" s="17">
        <v>0</v>
      </c>
      <c r="S40" s="17">
        <v>11464</v>
      </c>
      <c r="U40" s="17">
        <v>87000</v>
      </c>
      <c r="W40" s="17">
        <v>15500</v>
      </c>
      <c r="Y40" s="17">
        <v>0</v>
      </c>
      <c r="AA40" s="17">
        <v>0</v>
      </c>
      <c r="AC40" s="17">
        <v>20910</v>
      </c>
      <c r="AE40" s="17">
        <v>2988</v>
      </c>
      <c r="AG40" s="13">
        <f t="shared" si="0"/>
        <v>8.4997219647822059E-2</v>
      </c>
      <c r="AH40" s="13">
        <f t="shared" si="1"/>
        <v>0</v>
      </c>
    </row>
    <row r="41" spans="1:34" ht="21" customHeight="1" x14ac:dyDescent="0.3">
      <c r="A41" s="16">
        <v>2044</v>
      </c>
      <c r="C41" s="17">
        <v>2177</v>
      </c>
      <c r="E41" s="17">
        <v>0</v>
      </c>
      <c r="G41" s="17">
        <v>2177</v>
      </c>
      <c r="I41" s="17">
        <v>0</v>
      </c>
      <c r="K41" s="18">
        <v>58</v>
      </c>
      <c r="M41" s="18">
        <v>0</v>
      </c>
      <c r="O41" s="17">
        <v>126125</v>
      </c>
      <c r="Q41" s="17">
        <v>0</v>
      </c>
      <c r="S41" s="17">
        <v>10721</v>
      </c>
      <c r="U41" s="17">
        <v>87000</v>
      </c>
      <c r="W41" s="17">
        <v>15500</v>
      </c>
      <c r="Y41" s="17">
        <v>0</v>
      </c>
      <c r="AA41" s="17">
        <v>0</v>
      </c>
      <c r="AC41" s="17">
        <v>12904</v>
      </c>
      <c r="AE41" s="17">
        <v>1669</v>
      </c>
      <c r="AG41" s="13">
        <f t="shared" si="0"/>
        <v>8.5002973240832502E-2</v>
      </c>
      <c r="AH41" s="13">
        <f t="shared" si="1"/>
        <v>0</v>
      </c>
    </row>
    <row r="42" spans="1:34" ht="15" customHeight="1" x14ac:dyDescent="0.3">
      <c r="A42" s="16">
        <v>2045</v>
      </c>
      <c r="C42" s="17">
        <v>2023</v>
      </c>
      <c r="E42" s="17">
        <v>0</v>
      </c>
      <c r="G42" s="17">
        <v>2023</v>
      </c>
      <c r="I42" s="17">
        <v>0</v>
      </c>
      <c r="K42" s="18">
        <v>58</v>
      </c>
      <c r="M42" s="18">
        <v>0</v>
      </c>
      <c r="O42" s="17">
        <v>117655</v>
      </c>
      <c r="Q42" s="17">
        <v>0</v>
      </c>
      <c r="S42" s="17">
        <v>10001</v>
      </c>
      <c r="U42" s="17">
        <v>87000</v>
      </c>
      <c r="W42" s="17">
        <v>15500</v>
      </c>
      <c r="Y42" s="17">
        <v>0</v>
      </c>
      <c r="AA42" s="17">
        <v>0</v>
      </c>
      <c r="AC42" s="17">
        <v>5155</v>
      </c>
      <c r="AE42" s="17">
        <v>603</v>
      </c>
      <c r="AG42" s="13">
        <f t="shared" si="0"/>
        <v>8.5002762313543839E-2</v>
      </c>
      <c r="AH42" s="13">
        <f t="shared" si="1"/>
        <v>0</v>
      </c>
    </row>
    <row r="43" spans="1:34" ht="15" customHeight="1" x14ac:dyDescent="0.3">
      <c r="A43" s="16">
        <v>2046</v>
      </c>
      <c r="C43" s="17">
        <v>1893</v>
      </c>
      <c r="E43" s="17">
        <v>0</v>
      </c>
      <c r="G43" s="17">
        <v>1893</v>
      </c>
      <c r="I43" s="17">
        <v>0</v>
      </c>
      <c r="K43" s="18">
        <v>58</v>
      </c>
      <c r="M43" s="18">
        <v>0</v>
      </c>
      <c r="O43" s="17">
        <v>109694</v>
      </c>
      <c r="Q43" s="17">
        <v>0</v>
      </c>
      <c r="S43" s="17">
        <v>9324</v>
      </c>
      <c r="U43" s="17">
        <v>87000</v>
      </c>
      <c r="W43" s="17">
        <v>0</v>
      </c>
      <c r="Y43" s="17">
        <v>0</v>
      </c>
      <c r="AA43" s="17">
        <v>0</v>
      </c>
      <c r="AC43" s="17">
        <v>13370</v>
      </c>
      <c r="AE43" s="17">
        <v>1417</v>
      </c>
      <c r="AG43" s="13">
        <f t="shared" si="0"/>
        <v>8.5000091162688932E-2</v>
      </c>
      <c r="AH43" s="13">
        <f t="shared" si="1"/>
        <v>0</v>
      </c>
    </row>
    <row r="44" spans="1:34" ht="15" customHeight="1" x14ac:dyDescent="0.3">
      <c r="A44" s="16">
        <v>2047</v>
      </c>
      <c r="C44" s="17">
        <v>1773</v>
      </c>
      <c r="E44" s="17">
        <v>0</v>
      </c>
      <c r="G44" s="17">
        <v>1773</v>
      </c>
      <c r="I44" s="17">
        <v>0</v>
      </c>
      <c r="K44" s="18">
        <v>58</v>
      </c>
      <c r="M44" s="18">
        <v>0</v>
      </c>
      <c r="O44" s="17">
        <v>102736</v>
      </c>
      <c r="Q44" s="17">
        <v>0</v>
      </c>
      <c r="S44" s="17">
        <v>8732</v>
      </c>
      <c r="U44" s="17">
        <v>87000</v>
      </c>
      <c r="W44" s="17">
        <v>0</v>
      </c>
      <c r="Y44" s="17">
        <v>0</v>
      </c>
      <c r="AA44" s="17">
        <v>0</v>
      </c>
      <c r="AC44" s="17">
        <v>7003</v>
      </c>
      <c r="AE44" s="17">
        <v>672</v>
      </c>
      <c r="AG44" s="13">
        <f t="shared" si="0"/>
        <v>8.4994549135648648E-2</v>
      </c>
      <c r="AH44" s="13">
        <f t="shared" si="1"/>
        <v>0</v>
      </c>
    </row>
    <row r="45" spans="1:34" ht="15" customHeight="1" x14ac:dyDescent="0.3">
      <c r="A45" s="16">
        <v>2048</v>
      </c>
      <c r="C45" s="17">
        <v>1661</v>
      </c>
      <c r="E45" s="17">
        <v>0</v>
      </c>
      <c r="G45" s="17">
        <v>1661</v>
      </c>
      <c r="I45" s="17">
        <v>0</v>
      </c>
      <c r="K45" s="18">
        <v>58</v>
      </c>
      <c r="M45" s="18">
        <v>0</v>
      </c>
      <c r="O45" s="17">
        <v>96259</v>
      </c>
      <c r="Q45" s="17">
        <v>0</v>
      </c>
      <c r="S45" s="17">
        <v>8182</v>
      </c>
      <c r="U45" s="17">
        <v>87000</v>
      </c>
      <c r="W45" s="17">
        <v>0</v>
      </c>
      <c r="Y45" s="17">
        <v>0</v>
      </c>
      <c r="AA45" s="17">
        <v>0</v>
      </c>
      <c r="AC45" s="17">
        <v>1077</v>
      </c>
      <c r="AE45" s="17">
        <v>94</v>
      </c>
      <c r="AG45" s="13">
        <f t="shared" si="0"/>
        <v>8.4999844170415229E-2</v>
      </c>
      <c r="AH45" s="13">
        <f t="shared" si="1"/>
        <v>0</v>
      </c>
    </row>
    <row r="46" spans="1:34" ht="21" customHeight="1" x14ac:dyDescent="0.3">
      <c r="A46" s="16">
        <v>2049</v>
      </c>
      <c r="C46" s="17">
        <v>0</v>
      </c>
      <c r="E46" s="17">
        <v>0</v>
      </c>
      <c r="G46" s="17">
        <v>0</v>
      </c>
      <c r="I46" s="17">
        <v>0</v>
      </c>
      <c r="K46" s="18">
        <v>0</v>
      </c>
      <c r="M46" s="18">
        <v>0</v>
      </c>
      <c r="O46" s="17">
        <v>0</v>
      </c>
      <c r="Q46" s="17">
        <v>0</v>
      </c>
      <c r="S46" s="17">
        <v>0</v>
      </c>
      <c r="U46" s="17">
        <v>0</v>
      </c>
      <c r="W46" s="17">
        <v>0</v>
      </c>
      <c r="Y46" s="17">
        <v>93100</v>
      </c>
      <c r="AA46" s="17">
        <v>0</v>
      </c>
      <c r="AC46" s="17">
        <v>-93100</v>
      </c>
      <c r="AE46" s="17">
        <v>-7319</v>
      </c>
      <c r="AG46" s="13">
        <f t="shared" si="0"/>
        <v>0</v>
      </c>
      <c r="AH46" s="13">
        <f t="shared" si="1"/>
        <v>0</v>
      </c>
    </row>
    <row r="47" spans="1:34" ht="15" customHeight="1" x14ac:dyDescent="0.3">
      <c r="A47" s="16">
        <v>2050</v>
      </c>
      <c r="C47" s="17">
        <v>0</v>
      </c>
      <c r="E47" s="17">
        <v>0</v>
      </c>
      <c r="G47" s="17">
        <v>0</v>
      </c>
      <c r="I47" s="17">
        <v>0</v>
      </c>
      <c r="K47" s="18">
        <v>0</v>
      </c>
      <c r="M47" s="18">
        <v>0</v>
      </c>
      <c r="O47" s="17">
        <v>0</v>
      </c>
      <c r="Q47" s="17">
        <v>0</v>
      </c>
      <c r="S47" s="17">
        <v>0</v>
      </c>
      <c r="U47" s="17">
        <v>0</v>
      </c>
      <c r="W47" s="17">
        <v>0</v>
      </c>
      <c r="Y47" s="17">
        <v>0</v>
      </c>
      <c r="AA47" s="17">
        <v>0</v>
      </c>
      <c r="AC47" s="17">
        <v>0</v>
      </c>
      <c r="AE47" s="17">
        <v>0</v>
      </c>
      <c r="AG47" s="13">
        <f t="shared" si="0"/>
        <v>0</v>
      </c>
      <c r="AH47" s="13">
        <f t="shared" si="1"/>
        <v>0</v>
      </c>
    </row>
    <row r="48" spans="1:34" ht="15" customHeight="1" x14ac:dyDescent="0.3">
      <c r="A48" s="16">
        <v>2051</v>
      </c>
      <c r="C48" s="17">
        <v>0</v>
      </c>
      <c r="E48" s="17">
        <v>0</v>
      </c>
      <c r="G48" s="17">
        <v>0</v>
      </c>
      <c r="I48" s="17">
        <v>0</v>
      </c>
      <c r="K48" s="18">
        <v>0</v>
      </c>
      <c r="M48" s="18">
        <v>0</v>
      </c>
      <c r="O48" s="17">
        <v>0</v>
      </c>
      <c r="Q48" s="17">
        <v>0</v>
      </c>
      <c r="S48" s="17">
        <v>0</v>
      </c>
      <c r="U48" s="17">
        <v>0</v>
      </c>
      <c r="W48" s="17">
        <v>0</v>
      </c>
      <c r="Y48" s="17">
        <v>0</v>
      </c>
      <c r="AA48" s="17">
        <v>0</v>
      </c>
      <c r="AC48" s="17">
        <v>0</v>
      </c>
      <c r="AE48" s="17">
        <v>0</v>
      </c>
      <c r="AG48" s="13">
        <f t="shared" si="0"/>
        <v>0</v>
      </c>
      <c r="AH48" s="13">
        <f t="shared" si="1"/>
        <v>0</v>
      </c>
    </row>
    <row r="49" spans="1:34" ht="15" customHeight="1" x14ac:dyDescent="0.3">
      <c r="A49" s="16">
        <v>2052</v>
      </c>
      <c r="C49" s="17">
        <v>0</v>
      </c>
      <c r="E49" s="17">
        <v>0</v>
      </c>
      <c r="G49" s="17">
        <v>0</v>
      </c>
      <c r="I49" s="17">
        <v>0</v>
      </c>
      <c r="K49" s="18">
        <v>0</v>
      </c>
      <c r="M49" s="18">
        <v>0</v>
      </c>
      <c r="O49" s="17">
        <v>0</v>
      </c>
      <c r="Q49" s="17">
        <v>0</v>
      </c>
      <c r="S49" s="17">
        <v>0</v>
      </c>
      <c r="U49" s="17">
        <v>0</v>
      </c>
      <c r="W49" s="17">
        <v>0</v>
      </c>
      <c r="Y49" s="17">
        <v>0</v>
      </c>
      <c r="AA49" s="17">
        <v>0</v>
      </c>
      <c r="AC49" s="17">
        <v>0</v>
      </c>
      <c r="AE49" s="17">
        <v>0</v>
      </c>
      <c r="AG49" s="13">
        <f t="shared" si="0"/>
        <v>0</v>
      </c>
      <c r="AH49" s="13">
        <f t="shared" si="1"/>
        <v>0</v>
      </c>
    </row>
    <row r="50" spans="1:34" ht="15" customHeight="1" x14ac:dyDescent="0.3">
      <c r="A50" s="16">
        <v>2053</v>
      </c>
      <c r="C50" s="17">
        <v>0</v>
      </c>
      <c r="E50" s="17">
        <v>0</v>
      </c>
      <c r="G50" s="17">
        <v>0</v>
      </c>
      <c r="I50" s="17">
        <v>0</v>
      </c>
      <c r="K50" s="18">
        <v>0</v>
      </c>
      <c r="M50" s="18">
        <v>0</v>
      </c>
      <c r="O50" s="17">
        <v>0</v>
      </c>
      <c r="Q50" s="17">
        <v>0</v>
      </c>
      <c r="S50" s="17">
        <v>0</v>
      </c>
      <c r="U50" s="17">
        <v>0</v>
      </c>
      <c r="W50" s="17">
        <v>0</v>
      </c>
      <c r="Y50" s="17">
        <v>0</v>
      </c>
      <c r="AA50" s="17">
        <v>0</v>
      </c>
      <c r="AC50" s="17">
        <v>0</v>
      </c>
      <c r="AE50" s="17">
        <v>0</v>
      </c>
      <c r="AG50" s="13">
        <f t="shared" si="0"/>
        <v>0</v>
      </c>
      <c r="AH50" s="13">
        <f t="shared" si="1"/>
        <v>0</v>
      </c>
    </row>
    <row r="51" spans="1:34" ht="21" customHeight="1" x14ac:dyDescent="0.3">
      <c r="A51" s="16">
        <v>2054</v>
      </c>
      <c r="C51" s="17">
        <v>0</v>
      </c>
      <c r="E51" s="17">
        <v>0</v>
      </c>
      <c r="G51" s="17">
        <v>0</v>
      </c>
      <c r="I51" s="17">
        <v>0</v>
      </c>
      <c r="K51" s="18">
        <v>0</v>
      </c>
      <c r="M51" s="18">
        <v>0</v>
      </c>
      <c r="O51" s="17">
        <v>0</v>
      </c>
      <c r="Q51" s="17">
        <v>0</v>
      </c>
      <c r="S51" s="17">
        <v>0</v>
      </c>
      <c r="U51" s="17">
        <v>0</v>
      </c>
      <c r="W51" s="17">
        <v>0</v>
      </c>
      <c r="Y51" s="17">
        <v>0</v>
      </c>
      <c r="AA51" s="17">
        <v>0</v>
      </c>
      <c r="AC51" s="17">
        <v>0</v>
      </c>
      <c r="AE51" s="17">
        <v>0</v>
      </c>
      <c r="AG51" s="13">
        <f t="shared" si="0"/>
        <v>0</v>
      </c>
      <c r="AH51" s="13">
        <f t="shared" si="1"/>
        <v>0</v>
      </c>
    </row>
    <row r="52" spans="1:34" ht="15" customHeight="1" x14ac:dyDescent="0.3">
      <c r="A52" s="16">
        <v>2055</v>
      </c>
      <c r="C52" s="17">
        <v>0</v>
      </c>
      <c r="E52" s="17">
        <v>0</v>
      </c>
      <c r="G52" s="17">
        <v>0</v>
      </c>
      <c r="I52" s="17">
        <v>0</v>
      </c>
      <c r="K52" s="18">
        <v>0</v>
      </c>
      <c r="M52" s="18">
        <v>0</v>
      </c>
      <c r="O52" s="17">
        <v>0</v>
      </c>
      <c r="Q52" s="17">
        <v>0</v>
      </c>
      <c r="S52" s="17">
        <v>0</v>
      </c>
      <c r="U52" s="17">
        <v>0</v>
      </c>
      <c r="W52" s="17">
        <v>0</v>
      </c>
      <c r="Y52" s="17">
        <v>0</v>
      </c>
      <c r="AA52" s="17">
        <v>0</v>
      </c>
      <c r="AC52" s="17">
        <v>0</v>
      </c>
      <c r="AE52" s="17">
        <v>0</v>
      </c>
      <c r="AG52" s="13">
        <f t="shared" si="0"/>
        <v>0</v>
      </c>
      <c r="AH52" s="13">
        <f t="shared" si="1"/>
        <v>0</v>
      </c>
    </row>
    <row r="53" spans="1:34" ht="15" customHeight="1" x14ac:dyDescent="0.3">
      <c r="A53" s="16">
        <v>2056</v>
      </c>
      <c r="C53" s="17">
        <v>0</v>
      </c>
      <c r="E53" s="17">
        <v>0</v>
      </c>
      <c r="G53" s="17">
        <v>0</v>
      </c>
      <c r="I53" s="17">
        <v>0</v>
      </c>
      <c r="K53" s="18">
        <v>0</v>
      </c>
      <c r="M53" s="18">
        <v>0</v>
      </c>
      <c r="O53" s="17">
        <v>0</v>
      </c>
      <c r="Q53" s="17">
        <v>0</v>
      </c>
      <c r="S53" s="17">
        <v>0</v>
      </c>
      <c r="U53" s="17">
        <v>0</v>
      </c>
      <c r="W53" s="17">
        <v>0</v>
      </c>
      <c r="Y53" s="17">
        <v>0</v>
      </c>
      <c r="AA53" s="17">
        <v>0</v>
      </c>
      <c r="AC53" s="17">
        <v>0</v>
      </c>
      <c r="AE53" s="17">
        <v>0</v>
      </c>
      <c r="AG53" s="13">
        <f t="shared" si="0"/>
        <v>0</v>
      </c>
      <c r="AH53" s="13">
        <f t="shared" si="1"/>
        <v>0</v>
      </c>
    </row>
    <row r="54" spans="1:34" ht="15" customHeight="1" x14ac:dyDescent="0.3">
      <c r="A54" s="16">
        <v>2057</v>
      </c>
      <c r="C54" s="17">
        <v>0</v>
      </c>
      <c r="E54" s="17">
        <v>0</v>
      </c>
      <c r="G54" s="17">
        <v>0</v>
      </c>
      <c r="I54" s="17">
        <v>0</v>
      </c>
      <c r="K54" s="18">
        <v>0</v>
      </c>
      <c r="M54" s="18">
        <v>0</v>
      </c>
      <c r="O54" s="17">
        <v>0</v>
      </c>
      <c r="Q54" s="17">
        <v>0</v>
      </c>
      <c r="S54" s="17">
        <v>0</v>
      </c>
      <c r="U54" s="17">
        <v>0</v>
      </c>
      <c r="W54" s="17">
        <v>0</v>
      </c>
      <c r="Y54" s="17">
        <v>0</v>
      </c>
      <c r="AA54" s="17">
        <v>0</v>
      </c>
      <c r="AC54" s="17">
        <v>0</v>
      </c>
      <c r="AE54" s="17">
        <v>0</v>
      </c>
      <c r="AG54" s="13">
        <f t="shared" si="0"/>
        <v>0</v>
      </c>
      <c r="AH54" s="13">
        <f t="shared" si="1"/>
        <v>0</v>
      </c>
    </row>
    <row r="55" spans="1:34" ht="15" customHeight="1" x14ac:dyDescent="0.3">
      <c r="A55" s="16">
        <v>2058</v>
      </c>
      <c r="C55" s="17">
        <v>0</v>
      </c>
      <c r="E55" s="17">
        <v>0</v>
      </c>
      <c r="G55" s="17">
        <v>0</v>
      </c>
      <c r="I55" s="17">
        <v>0</v>
      </c>
      <c r="K55" s="18">
        <v>0</v>
      </c>
      <c r="M55" s="18">
        <v>0</v>
      </c>
      <c r="O55" s="17">
        <v>0</v>
      </c>
      <c r="Q55" s="17">
        <v>0</v>
      </c>
      <c r="S55" s="17">
        <v>0</v>
      </c>
      <c r="U55" s="17">
        <v>0</v>
      </c>
      <c r="W55" s="17">
        <v>0</v>
      </c>
      <c r="Y55" s="17">
        <v>0</v>
      </c>
      <c r="AA55" s="17">
        <v>0</v>
      </c>
      <c r="AC55" s="17">
        <v>0</v>
      </c>
      <c r="AE55" s="17">
        <v>0</v>
      </c>
      <c r="AG55" s="13">
        <f t="shared" si="0"/>
        <v>0</v>
      </c>
      <c r="AH55" s="13">
        <f t="shared" si="1"/>
        <v>0</v>
      </c>
    </row>
    <row r="56" spans="1:34" ht="21" customHeight="1" x14ac:dyDescent="0.3">
      <c r="A56" s="16">
        <v>2059</v>
      </c>
      <c r="C56" s="17">
        <v>0</v>
      </c>
      <c r="E56" s="17">
        <v>0</v>
      </c>
      <c r="G56" s="17">
        <v>0</v>
      </c>
      <c r="I56" s="17">
        <v>0</v>
      </c>
      <c r="K56" s="18">
        <v>0</v>
      </c>
      <c r="M56" s="18">
        <v>0</v>
      </c>
      <c r="O56" s="17">
        <v>0</v>
      </c>
      <c r="Q56" s="17">
        <v>0</v>
      </c>
      <c r="S56" s="17">
        <v>0</v>
      </c>
      <c r="U56" s="17">
        <v>0</v>
      </c>
      <c r="W56" s="17">
        <v>0</v>
      </c>
      <c r="Y56" s="17">
        <v>0</v>
      </c>
      <c r="AA56" s="17">
        <v>0</v>
      </c>
      <c r="AC56" s="17">
        <v>0</v>
      </c>
      <c r="AE56" s="17">
        <v>0</v>
      </c>
      <c r="AG56" s="13">
        <f t="shared" si="0"/>
        <v>0</v>
      </c>
      <c r="AH56" s="13">
        <f t="shared" si="1"/>
        <v>0</v>
      </c>
    </row>
    <row r="57" spans="1:34" ht="15" customHeight="1" x14ac:dyDescent="0.3">
      <c r="A57" s="16">
        <v>2060</v>
      </c>
      <c r="C57" s="19">
        <v>0</v>
      </c>
      <c r="E57" s="19">
        <v>0</v>
      </c>
      <c r="G57" s="19">
        <v>0</v>
      </c>
      <c r="I57" s="19">
        <v>0</v>
      </c>
      <c r="K57" s="18">
        <v>0</v>
      </c>
      <c r="M57" s="18">
        <v>0</v>
      </c>
      <c r="O57" s="19">
        <v>0</v>
      </c>
      <c r="Q57" s="19">
        <v>0</v>
      </c>
      <c r="S57" s="19">
        <v>0</v>
      </c>
      <c r="U57" s="19">
        <v>0</v>
      </c>
      <c r="W57" s="19">
        <v>0</v>
      </c>
      <c r="Y57" s="19">
        <v>0</v>
      </c>
      <c r="AA57" s="19">
        <v>0</v>
      </c>
      <c r="AC57" s="19">
        <v>0</v>
      </c>
      <c r="AE57" s="19">
        <v>0</v>
      </c>
      <c r="AG57" s="13">
        <f t="shared" si="0"/>
        <v>0</v>
      </c>
      <c r="AH57" s="13">
        <f t="shared" si="1"/>
        <v>0</v>
      </c>
    </row>
    <row r="58" spans="1:34" ht="15" customHeight="1" x14ac:dyDescent="0.3">
      <c r="AG58" s="13"/>
      <c r="AH58" s="13"/>
    </row>
    <row r="59" spans="1:34" ht="15" customHeight="1" x14ac:dyDescent="0.3">
      <c r="A59" s="231" t="s">
        <v>2</v>
      </c>
      <c r="C59" s="232">
        <v>108362</v>
      </c>
      <c r="E59" s="232">
        <v>0</v>
      </c>
      <c r="G59" s="232">
        <v>108362</v>
      </c>
      <c r="I59" s="232">
        <v>0</v>
      </c>
      <c r="O59" s="232">
        <v>6284678</v>
      </c>
      <c r="Q59" s="232">
        <v>0</v>
      </c>
      <c r="S59" s="232">
        <v>426655</v>
      </c>
      <c r="U59" s="232">
        <v>2175000</v>
      </c>
      <c r="W59" s="232">
        <v>458500</v>
      </c>
      <c r="Y59" s="232">
        <v>93100</v>
      </c>
      <c r="AA59" s="232">
        <v>4092</v>
      </c>
      <c r="AC59" s="232">
        <v>3127330</v>
      </c>
      <c r="AE59" s="232">
        <v>1776342</v>
      </c>
      <c r="AG59" s="13"/>
      <c r="AH59" s="13"/>
    </row>
    <row r="60" spans="1:34" ht="15" customHeight="1" x14ac:dyDescent="0.3">
      <c r="AG60" s="13"/>
      <c r="AH60" s="13"/>
    </row>
    <row r="61" spans="1:34" ht="15" customHeight="1" x14ac:dyDescent="0.3">
      <c r="A61" t="s">
        <v>47</v>
      </c>
      <c r="AC61" s="228" t="s">
        <v>729</v>
      </c>
      <c r="AD61" s="15"/>
      <c r="AE61" s="15"/>
      <c r="AG61" s="13"/>
      <c r="AH61" s="13"/>
    </row>
    <row r="62" spans="1:34" x14ac:dyDescent="0.3">
      <c r="A62" t="s">
        <v>86</v>
      </c>
      <c r="AC62" s="20" t="s">
        <v>48</v>
      </c>
      <c r="AE62" s="17">
        <v>2313873</v>
      </c>
      <c r="AG62" s="13"/>
      <c r="AH62" s="13"/>
    </row>
    <row r="63" spans="1:34" x14ac:dyDescent="0.3">
      <c r="A63" t="s">
        <v>83</v>
      </c>
      <c r="AC63" s="20" t="s">
        <v>49</v>
      </c>
      <c r="AE63" s="17">
        <v>1410159</v>
      </c>
      <c r="AG63" s="13"/>
      <c r="AH63" s="13"/>
    </row>
    <row r="64" spans="1:34" x14ac:dyDescent="0.3">
      <c r="A64" t="s">
        <v>84</v>
      </c>
      <c r="AC64" s="20" t="s">
        <v>50</v>
      </c>
      <c r="AE64" s="17">
        <v>1151728</v>
      </c>
      <c r="AG64" s="13"/>
      <c r="AH64" s="13"/>
    </row>
    <row r="65" spans="1:1" x14ac:dyDescent="0.3">
      <c r="A65" t="s">
        <v>85</v>
      </c>
    </row>
    <row r="66" spans="1:1" x14ac:dyDescent="0.3">
      <c r="A66" t="s">
        <v>730</v>
      </c>
    </row>
    <row r="67" spans="1:1" x14ac:dyDescent="0.3">
      <c r="A67" s="233" t="s">
        <v>731</v>
      </c>
    </row>
  </sheetData>
  <printOptions horizontalCentered="1"/>
  <pageMargins left="0.5" right="0.3" top="0.75" bottom="0.75" header="0.5" footer="0.5"/>
  <pageSetup paperSize="160" scale="45"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1856-527E-41EA-9DE3-B5DCFA334C33}">
  <sheetPr>
    <tabColor rgb="FF7030A0"/>
    <pageSetUpPr fitToPage="1"/>
  </sheetPr>
  <dimension ref="A1:AI68"/>
  <sheetViews>
    <sheetView showGridLines="0" topLeftCell="B1" zoomScaleNormal="100" zoomScaleSheetLayoutView="90" workbookViewId="0">
      <selection activeCell="AH19" sqref="AH19"/>
    </sheetView>
  </sheetViews>
  <sheetFormatPr defaultRowHeight="14.4" x14ac:dyDescent="0.3"/>
  <cols>
    <col min="1" max="1" width="6" bestFit="1" customWidth="1"/>
    <col min="2" max="2" width="1.6640625" customWidth="1"/>
    <col min="3" max="3" width="9.5546875" customWidth="1"/>
    <col min="4" max="4" width="1.6640625" customWidth="1"/>
    <col min="5" max="5" width="9.5546875" customWidth="1"/>
    <col min="6" max="6" width="1.6640625" customWidth="1"/>
    <col min="7" max="7" width="9.5546875" customWidth="1"/>
    <col min="8" max="8" width="1.6640625" customWidth="1"/>
    <col min="9" max="9" width="9.5546875" customWidth="1"/>
    <col min="10" max="10" width="1.6640625" customWidth="1"/>
    <col min="11" max="11" width="13.33203125" customWidth="1"/>
    <col min="12" max="12" width="1.6640625" customWidth="1"/>
    <col min="13" max="13" width="13.33203125" bestFit="1" customWidth="1"/>
    <col min="14" max="14" width="1.6640625" customWidth="1"/>
    <col min="15" max="15" width="14.5546875" customWidth="1"/>
    <col min="16" max="16" width="1.6640625" customWidth="1"/>
    <col min="17" max="17" width="14.5546875" customWidth="1"/>
    <col min="18" max="18" width="1.6640625" customWidth="1"/>
    <col min="19" max="19" width="14.5546875" customWidth="1"/>
    <col min="20" max="20" width="1.6640625" customWidth="1"/>
    <col min="21" max="21" width="14.5546875" customWidth="1"/>
    <col min="22" max="22" width="1.6640625" customWidth="1"/>
    <col min="23" max="23" width="14.5546875" customWidth="1"/>
    <col min="24" max="24" width="1.6640625" customWidth="1"/>
    <col min="25" max="25" width="14.5546875" bestFit="1" customWidth="1"/>
    <col min="26" max="26" width="1.6640625" customWidth="1"/>
    <col min="27" max="27" width="14.5546875" customWidth="1"/>
    <col min="28" max="28" width="1.6640625" customWidth="1"/>
    <col min="29" max="29" width="14.5546875" customWidth="1"/>
    <col min="30" max="30" width="1.6640625" customWidth="1"/>
    <col min="31" max="31" width="14.5546875" customWidth="1"/>
    <col min="32" max="32" width="2.109375" customWidth="1"/>
  </cols>
  <sheetData>
    <row r="1" spans="1:34" x14ac:dyDescent="0.3">
      <c r="A1" s="226" t="s">
        <v>51</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row>
    <row r="2" spans="1:34" x14ac:dyDescent="0.3">
      <c r="A2" s="226" t="s">
        <v>63</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spans="1:34" x14ac:dyDescent="0.3">
      <c r="A3" s="226" t="s">
        <v>24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row>
    <row r="4" spans="1:34" x14ac:dyDescent="0.3">
      <c r="A4" s="226" t="s">
        <v>718</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row>
    <row r="5" spans="1:34" x14ac:dyDescent="0.3">
      <c r="A5" s="226" t="s">
        <v>62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row>
    <row r="6" spans="1:34" x14ac:dyDescent="0.3">
      <c r="A6" s="226" t="s">
        <v>61</v>
      </c>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row>
    <row r="7" spans="1:34" x14ac:dyDescent="0.3">
      <c r="A7" s="226" t="s">
        <v>25</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spans="1:34" x14ac:dyDescent="0.3">
      <c r="A8" s="226" t="s">
        <v>26</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spans="1:34" x14ac:dyDescent="0.3">
      <c r="A9" s="226" t="s">
        <v>27</v>
      </c>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row>
    <row r="10" spans="1:34" x14ac:dyDescent="0.3">
      <c r="A10" s="226" t="s">
        <v>719</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row>
    <row r="11" spans="1:34" x14ac:dyDescent="0.3">
      <c r="A11" s="226" t="s">
        <v>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row>
    <row r="12" spans="1:34" x14ac:dyDescent="0.3">
      <c r="A12" s="226" t="s">
        <v>5</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row>
    <row r="13" spans="1:34" x14ac:dyDescent="0.3">
      <c r="A13" s="226" t="s">
        <v>5</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spans="1:34" x14ac:dyDescent="0.3">
      <c r="K14" s="227"/>
      <c r="L14" s="14"/>
      <c r="M14" s="14"/>
    </row>
    <row r="15" spans="1:34" x14ac:dyDescent="0.3">
      <c r="C15" s="227" t="s">
        <v>31</v>
      </c>
      <c r="D15" s="14"/>
      <c r="E15" s="14"/>
      <c r="G15" s="227" t="s">
        <v>37</v>
      </c>
      <c r="H15" s="14"/>
      <c r="I15" s="14"/>
      <c r="K15" s="227" t="s">
        <v>76</v>
      </c>
      <c r="L15" s="14"/>
      <c r="M15" s="14"/>
    </row>
    <row r="16" spans="1:34" x14ac:dyDescent="0.3">
      <c r="C16" s="228" t="s">
        <v>52</v>
      </c>
      <c r="D16" s="15"/>
      <c r="E16" s="15"/>
      <c r="G16" s="228" t="s">
        <v>52</v>
      </c>
      <c r="H16" s="15"/>
      <c r="I16" s="15"/>
      <c r="K16" s="228" t="s">
        <v>77</v>
      </c>
      <c r="L16" s="15"/>
      <c r="M16" s="15"/>
      <c r="O16" s="229" t="s">
        <v>28</v>
      </c>
      <c r="S16" s="229" t="s">
        <v>14</v>
      </c>
      <c r="AC16" s="229" t="s">
        <v>28</v>
      </c>
      <c r="AE16" s="229" t="s">
        <v>29</v>
      </c>
      <c r="AG16" s="9" t="s">
        <v>14</v>
      </c>
      <c r="AH16" s="9"/>
    </row>
    <row r="17" spans="1:35" x14ac:dyDescent="0.3">
      <c r="E17" s="229" t="s">
        <v>30</v>
      </c>
      <c r="I17" s="229" t="s">
        <v>30</v>
      </c>
      <c r="M17" s="229" t="s">
        <v>30</v>
      </c>
      <c r="O17" s="229" t="s">
        <v>31</v>
      </c>
      <c r="S17" s="229" t="s">
        <v>33</v>
      </c>
      <c r="U17" s="229" t="s">
        <v>34</v>
      </c>
      <c r="W17" s="229" t="s">
        <v>35</v>
      </c>
      <c r="Y17" s="229" t="s">
        <v>36</v>
      </c>
      <c r="AC17" s="229" t="s">
        <v>37</v>
      </c>
      <c r="AE17" s="229" t="s">
        <v>38</v>
      </c>
      <c r="AG17" s="9" t="s">
        <v>33</v>
      </c>
      <c r="AH17" s="9"/>
      <c r="AI17" s="229" t="s">
        <v>750</v>
      </c>
    </row>
    <row r="18" spans="1:35" x14ac:dyDescent="0.3">
      <c r="C18" s="229" t="s">
        <v>39</v>
      </c>
      <c r="E18" s="229" t="s">
        <v>40</v>
      </c>
      <c r="G18" s="229" t="s">
        <v>39</v>
      </c>
      <c r="I18" s="229" t="s">
        <v>40</v>
      </c>
      <c r="K18" s="229" t="s">
        <v>39</v>
      </c>
      <c r="M18" s="229" t="s">
        <v>40</v>
      </c>
      <c r="O18" s="229" t="s">
        <v>41</v>
      </c>
      <c r="Q18" s="229" t="s">
        <v>720</v>
      </c>
      <c r="S18" s="229" t="s">
        <v>32</v>
      </c>
      <c r="U18" s="229" t="s">
        <v>42</v>
      </c>
      <c r="W18" s="229" t="s">
        <v>43</v>
      </c>
      <c r="Y18" s="229" t="s">
        <v>78</v>
      </c>
      <c r="AA18" s="229" t="s">
        <v>44</v>
      </c>
      <c r="AC18" s="229" t="s">
        <v>41</v>
      </c>
      <c r="AE18" s="229" t="s">
        <v>45</v>
      </c>
      <c r="AG18" s="9" t="s">
        <v>32</v>
      </c>
      <c r="AH18" s="9" t="s">
        <v>44</v>
      </c>
      <c r="AI18" s="9" t="s">
        <v>751</v>
      </c>
    </row>
    <row r="19" spans="1:35" ht="16.8" x14ac:dyDescent="0.3">
      <c r="A19" s="230" t="s">
        <v>1</v>
      </c>
      <c r="C19" s="230" t="s">
        <v>723</v>
      </c>
      <c r="E19" s="230" t="s">
        <v>724</v>
      </c>
      <c r="G19" s="230" t="s">
        <v>723</v>
      </c>
      <c r="I19" s="230" t="s">
        <v>724</v>
      </c>
      <c r="K19" s="230" t="s">
        <v>46</v>
      </c>
      <c r="M19" s="230" t="s">
        <v>725</v>
      </c>
      <c r="O19" s="230" t="s">
        <v>728</v>
      </c>
      <c r="Q19" s="230" t="s">
        <v>728</v>
      </c>
      <c r="S19" s="230" t="s">
        <v>728</v>
      </c>
      <c r="U19" s="230" t="s">
        <v>728</v>
      </c>
      <c r="W19" s="230" t="s">
        <v>728</v>
      </c>
      <c r="Y19" s="230" t="s">
        <v>728</v>
      </c>
      <c r="AA19" s="230" t="s">
        <v>728</v>
      </c>
      <c r="AC19" s="230" t="s">
        <v>728</v>
      </c>
      <c r="AE19" s="230" t="s">
        <v>728</v>
      </c>
      <c r="AG19" s="10" t="s">
        <v>71</v>
      </c>
      <c r="AH19" s="10" t="s">
        <v>71</v>
      </c>
      <c r="AI19" s="10" t="s">
        <v>71</v>
      </c>
    </row>
    <row r="20" spans="1:35" x14ac:dyDescent="0.3">
      <c r="AG20" s="8"/>
      <c r="AH20" s="8"/>
      <c r="AI20" s="8"/>
    </row>
    <row r="21" spans="1:35" x14ac:dyDescent="0.3">
      <c r="A21" s="16">
        <v>2024</v>
      </c>
      <c r="C21" s="17">
        <v>13048</v>
      </c>
      <c r="E21" s="17">
        <v>2953</v>
      </c>
      <c r="G21" s="17">
        <v>11742</v>
      </c>
      <c r="I21" s="17">
        <v>2658</v>
      </c>
      <c r="K21" s="18">
        <v>60</v>
      </c>
      <c r="M21" s="18">
        <v>1.62</v>
      </c>
      <c r="O21" s="17">
        <v>708826</v>
      </c>
      <c r="Q21" s="17">
        <v>9759</v>
      </c>
      <c r="S21" s="17">
        <v>56844</v>
      </c>
      <c r="U21" s="17">
        <v>81900</v>
      </c>
      <c r="W21" s="17">
        <v>97555</v>
      </c>
      <c r="Y21" s="17">
        <v>11700</v>
      </c>
      <c r="AA21" s="17">
        <v>4902</v>
      </c>
      <c r="AC21" s="17">
        <v>465684</v>
      </c>
      <c r="AE21" s="17">
        <v>441411</v>
      </c>
      <c r="AG21" s="13">
        <f t="shared" ref="AG21:AG57" si="0">IFERROR(S21/O21,0)</f>
        <v>8.019457525542234E-2</v>
      </c>
      <c r="AH21" s="13">
        <f t="shared" ref="AH21:AH57" si="1">IFERROR(AA21/O21,0)</f>
        <v>6.9156605429259088E-3</v>
      </c>
      <c r="AI21" s="13">
        <f>IFERROR(Q21/O21,0)</f>
        <v>1.3767835829949804E-2</v>
      </c>
    </row>
    <row r="22" spans="1:35" x14ac:dyDescent="0.3">
      <c r="A22" s="16">
        <v>2025</v>
      </c>
      <c r="C22" s="17">
        <v>18115</v>
      </c>
      <c r="E22" s="17">
        <v>5868</v>
      </c>
      <c r="G22" s="17">
        <v>16626</v>
      </c>
      <c r="I22" s="17">
        <v>5377</v>
      </c>
      <c r="K22" s="18">
        <v>60</v>
      </c>
      <c r="M22" s="18">
        <v>1.62</v>
      </c>
      <c r="O22" s="17">
        <v>1006268</v>
      </c>
      <c r="Q22" s="17">
        <v>18144</v>
      </c>
      <c r="S22" s="17">
        <v>69139</v>
      </c>
      <c r="U22" s="17">
        <v>83506</v>
      </c>
      <c r="W22" s="17">
        <v>264956</v>
      </c>
      <c r="Y22" s="17">
        <v>11700</v>
      </c>
      <c r="AA22" s="17">
        <v>21417</v>
      </c>
      <c r="AC22" s="17">
        <v>573694</v>
      </c>
      <c r="AE22" s="17">
        <v>492245</v>
      </c>
      <c r="AG22" s="13">
        <f t="shared" si="0"/>
        <v>6.8708336149017959E-2</v>
      </c>
      <c r="AH22" s="13">
        <f t="shared" si="1"/>
        <v>2.1283594430112057E-2</v>
      </c>
      <c r="AI22" s="13">
        <f t="shared" ref="AI22:AI57" si="2">IFERROR(Q22/O22,0)</f>
        <v>1.8030981806039743E-2</v>
      </c>
    </row>
    <row r="23" spans="1:35" x14ac:dyDescent="0.3">
      <c r="A23" s="16">
        <v>2026</v>
      </c>
      <c r="C23" s="17">
        <v>22566</v>
      </c>
      <c r="E23" s="17">
        <v>8156</v>
      </c>
      <c r="G23" s="17">
        <v>20902</v>
      </c>
      <c r="I23" s="17">
        <v>7544</v>
      </c>
      <c r="K23" s="18">
        <v>60</v>
      </c>
      <c r="M23" s="18">
        <v>1.62</v>
      </c>
      <c r="O23" s="17">
        <v>1266360</v>
      </c>
      <c r="Q23" s="17">
        <v>23746</v>
      </c>
      <c r="S23" s="17">
        <v>78447</v>
      </c>
      <c r="U23" s="17">
        <v>84287</v>
      </c>
      <c r="W23" s="17">
        <v>224312</v>
      </c>
      <c r="Y23" s="17">
        <v>23400</v>
      </c>
      <c r="AA23" s="17">
        <v>37572</v>
      </c>
      <c r="AC23" s="17">
        <v>842088</v>
      </c>
      <c r="AE23" s="17">
        <v>654049</v>
      </c>
      <c r="AG23" s="13">
        <f t="shared" si="0"/>
        <v>6.1946839761205345E-2</v>
      </c>
      <c r="AH23" s="13">
        <f t="shared" si="1"/>
        <v>2.9669288354022553E-2</v>
      </c>
      <c r="AI23" s="13">
        <f t="shared" si="2"/>
        <v>1.8751381913515903E-2</v>
      </c>
    </row>
    <row r="24" spans="1:35" x14ac:dyDescent="0.3">
      <c r="A24" s="16">
        <v>2027</v>
      </c>
      <c r="C24" s="17">
        <v>27383</v>
      </c>
      <c r="E24" s="17">
        <v>10553</v>
      </c>
      <c r="G24" s="17">
        <v>25148</v>
      </c>
      <c r="I24" s="17">
        <v>9686</v>
      </c>
      <c r="K24" s="18">
        <v>60</v>
      </c>
      <c r="M24" s="18">
        <v>1.62</v>
      </c>
      <c r="O24" s="17">
        <v>1524550</v>
      </c>
      <c r="Q24" s="17">
        <v>29274</v>
      </c>
      <c r="S24" s="17">
        <v>87919</v>
      </c>
      <c r="U24" s="17">
        <v>83576</v>
      </c>
      <c r="W24" s="17">
        <v>274098</v>
      </c>
      <c r="Y24" s="17">
        <v>0</v>
      </c>
      <c r="AA24" s="17">
        <v>65777</v>
      </c>
      <c r="AC24" s="17">
        <v>1042453</v>
      </c>
      <c r="AE24" s="17">
        <v>732925</v>
      </c>
      <c r="AG24" s="13">
        <f t="shared" si="0"/>
        <v>5.7668820307631763E-2</v>
      </c>
      <c r="AH24" s="13">
        <f t="shared" si="1"/>
        <v>4.3145190384047752E-2</v>
      </c>
      <c r="AI24" s="13">
        <f t="shared" si="2"/>
        <v>1.9201731658522188E-2</v>
      </c>
    </row>
    <row r="25" spans="1:35" x14ac:dyDescent="0.3">
      <c r="A25" s="16">
        <v>2028</v>
      </c>
      <c r="C25" s="17">
        <v>28711</v>
      </c>
      <c r="E25" s="17">
        <v>10835</v>
      </c>
      <c r="G25" s="17">
        <v>26239</v>
      </c>
      <c r="I25" s="17">
        <v>9903</v>
      </c>
      <c r="K25" s="18">
        <v>60</v>
      </c>
      <c r="M25" s="18">
        <v>1.62</v>
      </c>
      <c r="O25" s="17">
        <v>1590374</v>
      </c>
      <c r="Q25" s="17">
        <v>28666</v>
      </c>
      <c r="S25" s="17">
        <v>89342</v>
      </c>
      <c r="U25" s="17">
        <v>83175</v>
      </c>
      <c r="W25" s="17">
        <v>215205</v>
      </c>
      <c r="Y25" s="17">
        <v>11700</v>
      </c>
      <c r="AA25" s="17">
        <v>71091</v>
      </c>
      <c r="AC25" s="17">
        <v>1148528</v>
      </c>
      <c r="AE25" s="17">
        <v>730962</v>
      </c>
      <c r="AG25" s="13">
        <f t="shared" si="0"/>
        <v>5.6176723211018291E-2</v>
      </c>
      <c r="AH25" s="13">
        <f t="shared" si="1"/>
        <v>4.4700806225453887E-2</v>
      </c>
      <c r="AI25" s="13">
        <f t="shared" si="2"/>
        <v>1.8024691047514609E-2</v>
      </c>
    </row>
    <row r="26" spans="1:35" ht="21.9" customHeight="1" x14ac:dyDescent="0.3">
      <c r="A26" s="16">
        <v>2029</v>
      </c>
      <c r="C26" s="17">
        <v>31783</v>
      </c>
      <c r="E26" s="17">
        <v>11617</v>
      </c>
      <c r="G26" s="17">
        <v>28928</v>
      </c>
      <c r="I26" s="17">
        <v>10578</v>
      </c>
      <c r="K26" s="18">
        <v>60</v>
      </c>
      <c r="M26" s="18">
        <v>1.62</v>
      </c>
      <c r="O26" s="17">
        <v>1752795</v>
      </c>
      <c r="Q26" s="17">
        <v>26987</v>
      </c>
      <c r="S26" s="17">
        <v>95048</v>
      </c>
      <c r="U26" s="17">
        <v>82813</v>
      </c>
      <c r="W26" s="17">
        <v>217742</v>
      </c>
      <c r="Y26" s="17">
        <v>11700</v>
      </c>
      <c r="AA26" s="17">
        <v>85930</v>
      </c>
      <c r="AC26" s="17">
        <v>1286549</v>
      </c>
      <c r="AE26" s="17">
        <v>741192</v>
      </c>
      <c r="AG26" s="13">
        <f t="shared" si="0"/>
        <v>5.4226535333567243E-2</v>
      </c>
      <c r="AH26" s="13">
        <f t="shared" si="1"/>
        <v>4.902455792035007E-2</v>
      </c>
      <c r="AI26" s="13">
        <f t="shared" si="2"/>
        <v>1.5396552363510849E-2</v>
      </c>
    </row>
    <row r="27" spans="1:35" x14ac:dyDescent="0.3">
      <c r="A27" s="16">
        <v>2030</v>
      </c>
      <c r="C27" s="17">
        <v>30136</v>
      </c>
      <c r="E27" s="17">
        <v>10567</v>
      </c>
      <c r="G27" s="17">
        <v>27373</v>
      </c>
      <c r="I27" s="17">
        <v>9604</v>
      </c>
      <c r="K27" s="18">
        <v>60</v>
      </c>
      <c r="M27" s="18">
        <v>1.62</v>
      </c>
      <c r="O27" s="17">
        <v>1657976</v>
      </c>
      <c r="Q27" s="17">
        <v>24231</v>
      </c>
      <c r="S27" s="17">
        <v>89821</v>
      </c>
      <c r="U27" s="17">
        <v>82665</v>
      </c>
      <c r="W27" s="17">
        <v>18000</v>
      </c>
      <c r="Y27" s="17">
        <v>0</v>
      </c>
      <c r="AA27" s="17">
        <v>75203</v>
      </c>
      <c r="AC27" s="17">
        <v>1416518</v>
      </c>
      <c r="AE27" s="17">
        <v>738714</v>
      </c>
      <c r="AG27" s="13">
        <f t="shared" si="0"/>
        <v>5.4175090592384935E-2</v>
      </c>
      <c r="AH27" s="13">
        <f t="shared" si="1"/>
        <v>4.5358316405062556E-2</v>
      </c>
      <c r="AI27" s="13">
        <f t="shared" si="2"/>
        <v>1.4614807451977591E-2</v>
      </c>
    </row>
    <row r="28" spans="1:35" x14ac:dyDescent="0.3">
      <c r="A28" s="16">
        <v>2031</v>
      </c>
      <c r="C28" s="17">
        <v>25484</v>
      </c>
      <c r="E28" s="17">
        <v>8246</v>
      </c>
      <c r="G28" s="17">
        <v>23138</v>
      </c>
      <c r="I28" s="17">
        <v>7490</v>
      </c>
      <c r="K28" s="18">
        <v>60</v>
      </c>
      <c r="M28" s="18">
        <v>1.62</v>
      </c>
      <c r="O28" s="17">
        <v>1400414</v>
      </c>
      <c r="Q28" s="17">
        <v>20354</v>
      </c>
      <c r="S28" s="17">
        <v>77830</v>
      </c>
      <c r="U28" s="17">
        <v>82620</v>
      </c>
      <c r="W28" s="17">
        <v>18000</v>
      </c>
      <c r="Y28" s="17">
        <v>0</v>
      </c>
      <c r="AA28" s="17">
        <v>47303</v>
      </c>
      <c r="AC28" s="17">
        <v>1195015</v>
      </c>
      <c r="AE28" s="17">
        <v>564128</v>
      </c>
      <c r="AG28" s="13">
        <f t="shared" si="0"/>
        <v>5.5576422400804334E-2</v>
      </c>
      <c r="AH28" s="13">
        <f t="shared" si="1"/>
        <v>3.377786854458753E-2</v>
      </c>
      <c r="AI28" s="13">
        <f t="shared" si="2"/>
        <v>1.4534273436283841E-2</v>
      </c>
    </row>
    <row r="29" spans="1:35" x14ac:dyDescent="0.3">
      <c r="A29" s="16">
        <v>2032</v>
      </c>
      <c r="C29" s="17">
        <v>21666</v>
      </c>
      <c r="E29" s="17">
        <v>6336</v>
      </c>
      <c r="G29" s="17">
        <v>19661</v>
      </c>
      <c r="I29" s="17">
        <v>5752</v>
      </c>
      <c r="K29" s="18">
        <v>60</v>
      </c>
      <c r="M29" s="18">
        <v>1.62</v>
      </c>
      <c r="O29" s="17">
        <v>1188954</v>
      </c>
      <c r="Q29" s="17">
        <v>17219</v>
      </c>
      <c r="S29" s="17">
        <v>67885</v>
      </c>
      <c r="U29" s="17">
        <v>82574</v>
      </c>
      <c r="W29" s="17">
        <v>18000</v>
      </c>
      <c r="Y29" s="17">
        <v>0</v>
      </c>
      <c r="AA29" s="17">
        <v>28162</v>
      </c>
      <c r="AC29" s="17">
        <v>1009552</v>
      </c>
      <c r="AE29" s="17">
        <v>431404</v>
      </c>
      <c r="AG29" s="13">
        <f t="shared" si="0"/>
        <v>5.709640574824594E-2</v>
      </c>
      <c r="AH29" s="13">
        <f t="shared" si="1"/>
        <v>2.368636633545116E-2</v>
      </c>
      <c r="AI29" s="13">
        <f t="shared" si="2"/>
        <v>1.4482477875510743E-2</v>
      </c>
    </row>
    <row r="30" spans="1:35" x14ac:dyDescent="0.3">
      <c r="A30" s="16">
        <v>2033</v>
      </c>
      <c r="C30" s="17">
        <v>18357</v>
      </c>
      <c r="E30" s="17">
        <v>4675</v>
      </c>
      <c r="G30" s="17">
        <v>16648</v>
      </c>
      <c r="I30" s="17">
        <v>4241</v>
      </c>
      <c r="K30" s="18">
        <v>60</v>
      </c>
      <c r="M30" s="18">
        <v>1.62</v>
      </c>
      <c r="O30" s="17">
        <v>1005778</v>
      </c>
      <c r="Q30" s="17">
        <v>14542</v>
      </c>
      <c r="S30" s="17">
        <v>86226</v>
      </c>
      <c r="U30" s="17">
        <v>82531</v>
      </c>
      <c r="W30" s="17">
        <v>18000</v>
      </c>
      <c r="Y30" s="17">
        <v>0</v>
      </c>
      <c r="AA30" s="17">
        <v>17447</v>
      </c>
      <c r="AC30" s="17">
        <v>816115</v>
      </c>
      <c r="AE30" s="17">
        <v>315688</v>
      </c>
      <c r="AG30" s="13">
        <f t="shared" si="0"/>
        <v>8.5730648314041466E-2</v>
      </c>
      <c r="AH30" s="13">
        <f t="shared" si="1"/>
        <v>1.7346770360854979E-2</v>
      </c>
      <c r="AI30" s="13">
        <f t="shared" si="2"/>
        <v>1.445845902376071E-2</v>
      </c>
    </row>
    <row r="31" spans="1:35" ht="21.9" customHeight="1" x14ac:dyDescent="0.3">
      <c r="A31" s="16">
        <v>2034</v>
      </c>
      <c r="C31" s="17">
        <v>15305</v>
      </c>
      <c r="E31" s="17">
        <v>3124</v>
      </c>
      <c r="G31" s="17">
        <v>13874</v>
      </c>
      <c r="I31" s="17">
        <v>2834</v>
      </c>
      <c r="K31" s="18">
        <v>60</v>
      </c>
      <c r="M31" s="18">
        <v>1.62</v>
      </c>
      <c r="O31" s="17">
        <v>836977</v>
      </c>
      <c r="Q31" s="17">
        <v>11778</v>
      </c>
      <c r="S31" s="17">
        <v>71857</v>
      </c>
      <c r="U31" s="17">
        <v>82502</v>
      </c>
      <c r="W31" s="17">
        <v>18000</v>
      </c>
      <c r="Y31" s="17">
        <v>0</v>
      </c>
      <c r="AA31" s="17">
        <v>9396</v>
      </c>
      <c r="AC31" s="17">
        <v>667000</v>
      </c>
      <c r="AE31" s="17">
        <v>233551</v>
      </c>
      <c r="AG31" s="13">
        <f t="shared" si="0"/>
        <v>8.5853016271653815E-2</v>
      </c>
      <c r="AH31" s="13">
        <f t="shared" si="1"/>
        <v>1.1226114935057952E-2</v>
      </c>
      <c r="AI31" s="13">
        <f t="shared" si="2"/>
        <v>1.4072071275554765E-2</v>
      </c>
    </row>
    <row r="32" spans="1:35" x14ac:dyDescent="0.3">
      <c r="A32" s="16">
        <v>2035</v>
      </c>
      <c r="C32" s="17">
        <v>13045</v>
      </c>
      <c r="E32" s="17">
        <v>1986</v>
      </c>
      <c r="G32" s="17">
        <v>11822</v>
      </c>
      <c r="I32" s="17">
        <v>1799</v>
      </c>
      <c r="K32" s="18">
        <v>60</v>
      </c>
      <c r="M32" s="18">
        <v>1.62</v>
      </c>
      <c r="O32" s="17">
        <v>712239</v>
      </c>
      <c r="Q32" s="17">
        <v>10057</v>
      </c>
      <c r="S32" s="17">
        <v>61238</v>
      </c>
      <c r="U32" s="17">
        <v>82462</v>
      </c>
      <c r="W32" s="17">
        <v>18000</v>
      </c>
      <c r="Y32" s="17">
        <v>0</v>
      </c>
      <c r="AA32" s="17">
        <v>3798</v>
      </c>
      <c r="AC32" s="17">
        <v>556799</v>
      </c>
      <c r="AE32" s="17">
        <v>176484</v>
      </c>
      <c r="AG32" s="13">
        <f t="shared" si="0"/>
        <v>8.5979565847980804E-2</v>
      </c>
      <c r="AH32" s="13">
        <f t="shared" si="1"/>
        <v>5.3324796872959782E-3</v>
      </c>
      <c r="AI32" s="13">
        <f t="shared" si="2"/>
        <v>1.4120260193558623E-2</v>
      </c>
    </row>
    <row r="33" spans="1:35" x14ac:dyDescent="0.3">
      <c r="A33" s="16">
        <v>2036</v>
      </c>
      <c r="C33" s="17">
        <v>10974</v>
      </c>
      <c r="E33" s="17">
        <v>919</v>
      </c>
      <c r="G33" s="17">
        <v>9921</v>
      </c>
      <c r="I33" s="17">
        <v>831</v>
      </c>
      <c r="K33" s="18">
        <v>60</v>
      </c>
      <c r="M33" s="18">
        <v>1.62</v>
      </c>
      <c r="O33" s="17">
        <v>596605</v>
      </c>
      <c r="Q33" s="17">
        <v>8333</v>
      </c>
      <c r="S33" s="17">
        <v>51395</v>
      </c>
      <c r="U33" s="17">
        <v>82247</v>
      </c>
      <c r="W33" s="17">
        <v>18000</v>
      </c>
      <c r="Y33" s="17">
        <v>0</v>
      </c>
      <c r="AA33" s="17">
        <v>0</v>
      </c>
      <c r="AC33" s="17">
        <v>453295</v>
      </c>
      <c r="AE33" s="17">
        <v>130059</v>
      </c>
      <c r="AG33" s="13">
        <f t="shared" si="0"/>
        <v>8.6145774842651332E-2</v>
      </c>
      <c r="AH33" s="13">
        <f t="shared" si="1"/>
        <v>0</v>
      </c>
      <c r="AI33" s="13">
        <f t="shared" si="2"/>
        <v>1.3967365342228108E-2</v>
      </c>
    </row>
    <row r="34" spans="1:35" x14ac:dyDescent="0.3">
      <c r="A34" s="16">
        <v>2037</v>
      </c>
      <c r="C34" s="17">
        <v>9119</v>
      </c>
      <c r="E34" s="17">
        <v>0</v>
      </c>
      <c r="G34" s="17">
        <v>8207</v>
      </c>
      <c r="I34" s="17">
        <v>0</v>
      </c>
      <c r="K34" s="18">
        <v>60</v>
      </c>
      <c r="M34" s="18">
        <v>1.62</v>
      </c>
      <c r="O34" s="17">
        <v>492472</v>
      </c>
      <c r="Q34" s="17">
        <v>6814</v>
      </c>
      <c r="S34" s="17">
        <v>42517</v>
      </c>
      <c r="U34" s="17">
        <v>81951</v>
      </c>
      <c r="W34" s="17">
        <v>18000</v>
      </c>
      <c r="Y34" s="17">
        <v>0</v>
      </c>
      <c r="AA34" s="17">
        <v>0</v>
      </c>
      <c r="AC34" s="17">
        <v>356819</v>
      </c>
      <c r="AE34" s="17">
        <v>92673</v>
      </c>
      <c r="AG34" s="13">
        <f t="shared" si="0"/>
        <v>8.6333842330122326E-2</v>
      </c>
      <c r="AH34" s="13">
        <f t="shared" si="1"/>
        <v>0</v>
      </c>
      <c r="AI34" s="13">
        <f t="shared" si="2"/>
        <v>1.3836319628324047E-2</v>
      </c>
    </row>
    <row r="35" spans="1:35" x14ac:dyDescent="0.3">
      <c r="A35" s="16">
        <v>2038</v>
      </c>
      <c r="C35" s="17">
        <v>7686</v>
      </c>
      <c r="E35" s="17">
        <v>0</v>
      </c>
      <c r="G35" s="17">
        <v>6917</v>
      </c>
      <c r="I35" s="17">
        <v>0</v>
      </c>
      <c r="K35" s="18">
        <v>60</v>
      </c>
      <c r="M35" s="18">
        <v>1.62</v>
      </c>
      <c r="O35" s="17">
        <v>415017</v>
      </c>
      <c r="Q35" s="17">
        <v>5748</v>
      </c>
      <c r="S35" s="17">
        <v>35833</v>
      </c>
      <c r="U35" s="17">
        <v>81900</v>
      </c>
      <c r="W35" s="17">
        <v>18000</v>
      </c>
      <c r="Y35" s="17">
        <v>0</v>
      </c>
      <c r="AA35" s="17">
        <v>0</v>
      </c>
      <c r="AC35" s="17">
        <v>285031</v>
      </c>
      <c r="AE35" s="17">
        <v>67012</v>
      </c>
      <c r="AG35" s="13">
        <f t="shared" si="0"/>
        <v>8.6341041451314049E-2</v>
      </c>
      <c r="AH35" s="13">
        <f t="shared" si="1"/>
        <v>0</v>
      </c>
      <c r="AI35" s="13">
        <f t="shared" si="2"/>
        <v>1.3850035058804821E-2</v>
      </c>
    </row>
    <row r="36" spans="1:35" ht="21.9" customHeight="1" x14ac:dyDescent="0.3">
      <c r="A36" s="16">
        <v>2039</v>
      </c>
      <c r="C36" s="17">
        <v>6250</v>
      </c>
      <c r="E36" s="17">
        <v>0</v>
      </c>
      <c r="G36" s="17">
        <v>5626</v>
      </c>
      <c r="I36" s="17">
        <v>0</v>
      </c>
      <c r="K36" s="18">
        <v>60</v>
      </c>
      <c r="M36" s="18">
        <v>1.62</v>
      </c>
      <c r="O36" s="17">
        <v>337557</v>
      </c>
      <c r="Q36" s="17">
        <v>4645</v>
      </c>
      <c r="S36" s="17">
        <v>29151</v>
      </c>
      <c r="U36" s="17">
        <v>81900</v>
      </c>
      <c r="W36" s="17">
        <v>18000</v>
      </c>
      <c r="Y36" s="17">
        <v>0</v>
      </c>
      <c r="AA36" s="17">
        <v>0</v>
      </c>
      <c r="AC36" s="17">
        <v>213150</v>
      </c>
      <c r="AE36" s="17">
        <v>45362</v>
      </c>
      <c r="AG36" s="13">
        <f t="shared" si="0"/>
        <v>8.6358748300287058E-2</v>
      </c>
      <c r="AH36" s="13">
        <f t="shared" si="1"/>
        <v>0</v>
      </c>
      <c r="AI36" s="13">
        <f t="shared" si="2"/>
        <v>1.376063894394132E-2</v>
      </c>
    </row>
    <row r="37" spans="1:35" x14ac:dyDescent="0.3">
      <c r="A37" s="16">
        <v>2040</v>
      </c>
      <c r="C37" s="17">
        <v>4910</v>
      </c>
      <c r="E37" s="17">
        <v>0</v>
      </c>
      <c r="G37" s="17">
        <v>4418</v>
      </c>
      <c r="I37" s="17">
        <v>0</v>
      </c>
      <c r="K37" s="18">
        <v>60</v>
      </c>
      <c r="M37" s="18">
        <v>1.62</v>
      </c>
      <c r="O37" s="17">
        <v>265070</v>
      </c>
      <c r="Q37" s="17">
        <v>3495</v>
      </c>
      <c r="S37" s="17">
        <v>22890</v>
      </c>
      <c r="U37" s="17">
        <v>81900</v>
      </c>
      <c r="W37" s="17">
        <v>18000</v>
      </c>
      <c r="Y37" s="17">
        <v>0</v>
      </c>
      <c r="AA37" s="17">
        <v>0</v>
      </c>
      <c r="AC37" s="17">
        <v>145775</v>
      </c>
      <c r="AE37" s="17">
        <v>28083</v>
      </c>
      <c r="AG37" s="13">
        <f t="shared" si="0"/>
        <v>8.6354547855283514E-2</v>
      </c>
      <c r="AH37" s="13">
        <f t="shared" si="1"/>
        <v>0</v>
      </c>
      <c r="AI37" s="13">
        <f t="shared" si="2"/>
        <v>1.3185196363224809E-2</v>
      </c>
    </row>
    <row r="38" spans="1:35" x14ac:dyDescent="0.3">
      <c r="A38" s="16">
        <v>2041</v>
      </c>
      <c r="C38" s="17">
        <v>4159</v>
      </c>
      <c r="E38" s="17">
        <v>0</v>
      </c>
      <c r="G38" s="17">
        <v>3745</v>
      </c>
      <c r="I38" s="17">
        <v>0</v>
      </c>
      <c r="K38" s="18">
        <v>60</v>
      </c>
      <c r="M38" s="18">
        <v>1.62</v>
      </c>
      <c r="O38" s="17">
        <v>224661</v>
      </c>
      <c r="Q38" s="17">
        <v>2907</v>
      </c>
      <c r="S38" s="17">
        <v>19402</v>
      </c>
      <c r="U38" s="17">
        <v>81900</v>
      </c>
      <c r="W38" s="17">
        <v>18000</v>
      </c>
      <c r="Y38" s="17">
        <v>0</v>
      </c>
      <c r="AA38" s="17">
        <v>0</v>
      </c>
      <c r="AC38" s="17">
        <v>108267</v>
      </c>
      <c r="AE38" s="17">
        <v>18880</v>
      </c>
      <c r="AG38" s="13">
        <f t="shared" si="0"/>
        <v>8.6361228695679262E-2</v>
      </c>
      <c r="AH38" s="13">
        <f t="shared" si="1"/>
        <v>0</v>
      </c>
      <c r="AI38" s="13">
        <f t="shared" si="2"/>
        <v>1.2939495506563222E-2</v>
      </c>
    </row>
    <row r="39" spans="1:35" x14ac:dyDescent="0.3">
      <c r="A39" s="16">
        <v>2042</v>
      </c>
      <c r="C39" s="17">
        <v>3466</v>
      </c>
      <c r="E39" s="17">
        <v>0</v>
      </c>
      <c r="G39" s="17">
        <v>3119</v>
      </c>
      <c r="I39" s="17">
        <v>0</v>
      </c>
      <c r="K39" s="18">
        <v>60</v>
      </c>
      <c r="M39" s="18">
        <v>1.61</v>
      </c>
      <c r="O39" s="17">
        <v>187178</v>
      </c>
      <c r="Q39" s="17">
        <v>2416</v>
      </c>
      <c r="S39" s="17">
        <v>16162</v>
      </c>
      <c r="U39" s="17">
        <v>81900</v>
      </c>
      <c r="W39" s="17">
        <v>18000</v>
      </c>
      <c r="Y39" s="17">
        <v>0</v>
      </c>
      <c r="AA39" s="17">
        <v>0</v>
      </c>
      <c r="AC39" s="17">
        <v>73532</v>
      </c>
      <c r="AE39" s="17">
        <v>11608</v>
      </c>
      <c r="AG39" s="13">
        <f t="shared" si="0"/>
        <v>8.6345617540522931E-2</v>
      </c>
      <c r="AH39" s="13">
        <f t="shared" si="1"/>
        <v>0</v>
      </c>
      <c r="AI39" s="13">
        <f t="shared" si="2"/>
        <v>1.2907499813012212E-2</v>
      </c>
    </row>
    <row r="40" spans="1:35" x14ac:dyDescent="0.3">
      <c r="A40" s="16">
        <v>2043</v>
      </c>
      <c r="C40" s="17">
        <v>2970</v>
      </c>
      <c r="E40" s="17">
        <v>0</v>
      </c>
      <c r="G40" s="17">
        <v>2672</v>
      </c>
      <c r="I40" s="17">
        <v>0</v>
      </c>
      <c r="K40" s="18">
        <v>60</v>
      </c>
      <c r="M40" s="18">
        <v>1.62</v>
      </c>
      <c r="O40" s="17">
        <v>160311</v>
      </c>
      <c r="Q40" s="17">
        <v>2125</v>
      </c>
      <c r="S40" s="17">
        <v>13842</v>
      </c>
      <c r="U40" s="17">
        <v>81900</v>
      </c>
      <c r="W40" s="17">
        <v>18000</v>
      </c>
      <c r="Y40" s="17">
        <v>0</v>
      </c>
      <c r="AA40" s="17">
        <v>0</v>
      </c>
      <c r="AC40" s="17">
        <v>48695</v>
      </c>
      <c r="AE40" s="17">
        <v>6958</v>
      </c>
      <c r="AG40" s="13">
        <f t="shared" si="0"/>
        <v>8.6344667552444937E-2</v>
      </c>
      <c r="AH40" s="13">
        <f t="shared" si="1"/>
        <v>0</v>
      </c>
      <c r="AI40" s="13">
        <f t="shared" si="2"/>
        <v>1.3255484651708243E-2</v>
      </c>
    </row>
    <row r="41" spans="1:35" ht="21.9" customHeight="1" x14ac:dyDescent="0.3">
      <c r="A41" s="16">
        <v>2044</v>
      </c>
      <c r="C41" s="17">
        <v>2542</v>
      </c>
      <c r="E41" s="17">
        <v>0</v>
      </c>
      <c r="G41" s="17">
        <v>2288</v>
      </c>
      <c r="I41" s="17">
        <v>0</v>
      </c>
      <c r="K41" s="18">
        <v>60</v>
      </c>
      <c r="M41" s="18">
        <v>1.62</v>
      </c>
      <c r="O41" s="17">
        <v>137300</v>
      </c>
      <c r="Q41" s="17">
        <v>1858</v>
      </c>
      <c r="S41" s="17">
        <v>11855</v>
      </c>
      <c r="U41" s="17">
        <v>81900</v>
      </c>
      <c r="W41" s="17">
        <v>0</v>
      </c>
      <c r="Y41" s="17">
        <v>0</v>
      </c>
      <c r="AA41" s="17">
        <v>0</v>
      </c>
      <c r="AC41" s="17">
        <v>45401</v>
      </c>
      <c r="AE41" s="17">
        <v>5873</v>
      </c>
      <c r="AG41" s="13">
        <f t="shared" si="0"/>
        <v>8.6343772760378731E-2</v>
      </c>
      <c r="AH41" s="13">
        <f t="shared" si="1"/>
        <v>0</v>
      </c>
      <c r="AI41" s="13">
        <f t="shared" si="2"/>
        <v>1.3532410779315367E-2</v>
      </c>
    </row>
    <row r="42" spans="1:35" x14ac:dyDescent="0.3">
      <c r="A42" s="16">
        <v>2045</v>
      </c>
      <c r="C42" s="17">
        <v>2121</v>
      </c>
      <c r="E42" s="17">
        <v>0</v>
      </c>
      <c r="G42" s="17">
        <v>1910</v>
      </c>
      <c r="I42" s="17">
        <v>0</v>
      </c>
      <c r="K42" s="18">
        <v>60</v>
      </c>
      <c r="M42" s="18">
        <v>1.62</v>
      </c>
      <c r="O42" s="17">
        <v>114591</v>
      </c>
      <c r="Q42" s="17">
        <v>1636</v>
      </c>
      <c r="S42" s="17">
        <v>9898</v>
      </c>
      <c r="U42" s="17">
        <v>81900</v>
      </c>
      <c r="W42" s="17">
        <v>0</v>
      </c>
      <c r="Y42" s="17">
        <v>0</v>
      </c>
      <c r="AA42" s="17">
        <v>0</v>
      </c>
      <c r="AC42" s="17">
        <v>24430</v>
      </c>
      <c r="AE42" s="17">
        <v>2860</v>
      </c>
      <c r="AG42" s="13">
        <f t="shared" si="0"/>
        <v>8.6376766063652466E-2</v>
      </c>
      <c r="AH42" s="13">
        <f t="shared" si="1"/>
        <v>0</v>
      </c>
      <c r="AI42" s="13">
        <f t="shared" si="2"/>
        <v>1.4276862929898508E-2</v>
      </c>
    </row>
    <row r="43" spans="1:35" x14ac:dyDescent="0.3">
      <c r="A43" s="16">
        <v>2046</v>
      </c>
      <c r="C43" s="17">
        <v>1763</v>
      </c>
      <c r="E43" s="17">
        <v>0</v>
      </c>
      <c r="G43" s="17">
        <v>1586</v>
      </c>
      <c r="I43" s="17">
        <v>0</v>
      </c>
      <c r="K43" s="18">
        <v>60</v>
      </c>
      <c r="M43" s="18">
        <v>1.62</v>
      </c>
      <c r="O43" s="17">
        <v>95136</v>
      </c>
      <c r="Q43" s="17">
        <v>1421</v>
      </c>
      <c r="S43" s="17">
        <v>8218</v>
      </c>
      <c r="U43" s="17">
        <v>81900</v>
      </c>
      <c r="W43" s="17">
        <v>0</v>
      </c>
      <c r="Y43" s="17">
        <v>0</v>
      </c>
      <c r="AA43" s="17">
        <v>0</v>
      </c>
      <c r="AC43" s="17">
        <v>6440</v>
      </c>
      <c r="AE43" s="17">
        <v>683</v>
      </c>
      <c r="AG43" s="13">
        <f t="shared" si="0"/>
        <v>8.6381601076353856E-2</v>
      </c>
      <c r="AH43" s="13">
        <f t="shared" si="1"/>
        <v>0</v>
      </c>
      <c r="AI43" s="13">
        <f t="shared" si="2"/>
        <v>1.4936511940800538E-2</v>
      </c>
    </row>
    <row r="44" spans="1:35" x14ac:dyDescent="0.3">
      <c r="A44" s="16">
        <v>2047</v>
      </c>
      <c r="C44" s="17">
        <v>0</v>
      </c>
      <c r="E44" s="17">
        <v>0</v>
      </c>
      <c r="G44" s="17">
        <v>0</v>
      </c>
      <c r="I44" s="17">
        <v>0</v>
      </c>
      <c r="K44" s="18">
        <v>0</v>
      </c>
      <c r="M44" s="18">
        <v>0</v>
      </c>
      <c r="O44" s="17">
        <v>0</v>
      </c>
      <c r="Q44" s="17">
        <v>0</v>
      </c>
      <c r="S44" s="17">
        <v>0</v>
      </c>
      <c r="U44" s="17">
        <v>0</v>
      </c>
      <c r="W44" s="17">
        <v>0</v>
      </c>
      <c r="Y44" s="17">
        <v>691155</v>
      </c>
      <c r="AA44" s="17">
        <v>0</v>
      </c>
      <c r="AC44" s="17">
        <v>-691155</v>
      </c>
      <c r="AE44" s="17">
        <v>-66312</v>
      </c>
      <c r="AG44" s="13">
        <f t="shared" si="0"/>
        <v>0</v>
      </c>
      <c r="AH44" s="13">
        <f t="shared" si="1"/>
        <v>0</v>
      </c>
      <c r="AI44" s="13">
        <f t="shared" si="2"/>
        <v>0</v>
      </c>
    </row>
    <row r="45" spans="1:35" x14ac:dyDescent="0.3">
      <c r="A45" s="16">
        <v>2048</v>
      </c>
      <c r="C45" s="17">
        <v>0</v>
      </c>
      <c r="E45" s="17">
        <v>0</v>
      </c>
      <c r="G45" s="17">
        <v>0</v>
      </c>
      <c r="I45" s="17">
        <v>0</v>
      </c>
      <c r="K45" s="18">
        <v>0</v>
      </c>
      <c r="M45" s="18">
        <v>0</v>
      </c>
      <c r="O45" s="17">
        <v>0</v>
      </c>
      <c r="Q45" s="17">
        <v>0</v>
      </c>
      <c r="S45" s="17">
        <v>0</v>
      </c>
      <c r="U45" s="17">
        <v>0</v>
      </c>
      <c r="W45" s="17">
        <v>0</v>
      </c>
      <c r="Y45" s="17">
        <v>0</v>
      </c>
      <c r="AA45" s="17">
        <v>0</v>
      </c>
      <c r="AC45" s="17">
        <v>0</v>
      </c>
      <c r="AE45" s="17">
        <v>0</v>
      </c>
      <c r="AG45" s="13">
        <f t="shared" si="0"/>
        <v>0</v>
      </c>
      <c r="AH45" s="13">
        <f t="shared" si="1"/>
        <v>0</v>
      </c>
      <c r="AI45" s="13">
        <f t="shared" si="2"/>
        <v>0</v>
      </c>
    </row>
    <row r="46" spans="1:35" ht="21.9" customHeight="1" x14ac:dyDescent="0.3">
      <c r="A46" s="16">
        <v>2049</v>
      </c>
      <c r="C46" s="17">
        <v>0</v>
      </c>
      <c r="E46" s="17">
        <v>0</v>
      </c>
      <c r="G46" s="17">
        <v>0</v>
      </c>
      <c r="I46" s="17">
        <v>0</v>
      </c>
      <c r="K46" s="18">
        <v>0</v>
      </c>
      <c r="M46" s="18">
        <v>0</v>
      </c>
      <c r="O46" s="17">
        <v>0</v>
      </c>
      <c r="Q46" s="17">
        <v>0</v>
      </c>
      <c r="S46" s="17">
        <v>0</v>
      </c>
      <c r="U46" s="17">
        <v>0</v>
      </c>
      <c r="W46" s="17">
        <v>0</v>
      </c>
      <c r="Y46" s="17">
        <v>0</v>
      </c>
      <c r="AA46" s="17">
        <v>0</v>
      </c>
      <c r="AC46" s="17">
        <v>0</v>
      </c>
      <c r="AE46" s="17">
        <v>0</v>
      </c>
      <c r="AG46" s="13">
        <f t="shared" si="0"/>
        <v>0</v>
      </c>
      <c r="AH46" s="13">
        <f t="shared" si="1"/>
        <v>0</v>
      </c>
      <c r="AI46" s="13">
        <f t="shared" si="2"/>
        <v>0</v>
      </c>
    </row>
    <row r="47" spans="1:35" x14ac:dyDescent="0.3">
      <c r="A47" s="16">
        <v>2050</v>
      </c>
      <c r="C47" s="17">
        <v>0</v>
      </c>
      <c r="E47" s="17">
        <v>0</v>
      </c>
      <c r="G47" s="17">
        <v>0</v>
      </c>
      <c r="I47" s="17">
        <v>0</v>
      </c>
      <c r="K47" s="18">
        <v>0</v>
      </c>
      <c r="M47" s="18">
        <v>0</v>
      </c>
      <c r="O47" s="17">
        <v>0</v>
      </c>
      <c r="Q47" s="17">
        <v>0</v>
      </c>
      <c r="S47" s="17">
        <v>0</v>
      </c>
      <c r="U47" s="17">
        <v>0</v>
      </c>
      <c r="W47" s="17">
        <v>0</v>
      </c>
      <c r="Y47" s="17">
        <v>0</v>
      </c>
      <c r="AA47" s="17">
        <v>0</v>
      </c>
      <c r="AC47" s="17">
        <v>0</v>
      </c>
      <c r="AE47" s="17">
        <v>0</v>
      </c>
      <c r="AG47" s="13">
        <f t="shared" si="0"/>
        <v>0</v>
      </c>
      <c r="AH47" s="13">
        <f t="shared" si="1"/>
        <v>0</v>
      </c>
      <c r="AI47" s="13">
        <f t="shared" si="2"/>
        <v>0</v>
      </c>
    </row>
    <row r="48" spans="1:35" x14ac:dyDescent="0.3">
      <c r="A48" s="16">
        <v>2051</v>
      </c>
      <c r="C48" s="17">
        <v>0</v>
      </c>
      <c r="E48" s="17">
        <v>0</v>
      </c>
      <c r="G48" s="17">
        <v>0</v>
      </c>
      <c r="I48" s="17">
        <v>0</v>
      </c>
      <c r="K48" s="18">
        <v>0</v>
      </c>
      <c r="M48" s="18">
        <v>0</v>
      </c>
      <c r="O48" s="17">
        <v>0</v>
      </c>
      <c r="Q48" s="17">
        <v>0</v>
      </c>
      <c r="S48" s="17">
        <v>0</v>
      </c>
      <c r="U48" s="17">
        <v>0</v>
      </c>
      <c r="W48" s="17">
        <v>0</v>
      </c>
      <c r="Y48" s="17">
        <v>0</v>
      </c>
      <c r="AA48" s="17">
        <v>0</v>
      </c>
      <c r="AC48" s="17">
        <v>0</v>
      </c>
      <c r="AE48" s="17">
        <v>0</v>
      </c>
      <c r="AG48" s="13">
        <f t="shared" si="0"/>
        <v>0</v>
      </c>
      <c r="AH48" s="13">
        <f t="shared" si="1"/>
        <v>0</v>
      </c>
      <c r="AI48" s="13">
        <f t="shared" si="2"/>
        <v>0</v>
      </c>
    </row>
    <row r="49" spans="1:35" x14ac:dyDescent="0.3">
      <c r="A49" s="16">
        <v>2052</v>
      </c>
      <c r="C49" s="17">
        <v>0</v>
      </c>
      <c r="E49" s="17">
        <v>0</v>
      </c>
      <c r="G49" s="17">
        <v>0</v>
      </c>
      <c r="I49" s="17">
        <v>0</v>
      </c>
      <c r="K49" s="18">
        <v>0</v>
      </c>
      <c r="M49" s="18">
        <v>0</v>
      </c>
      <c r="O49" s="17">
        <v>0</v>
      </c>
      <c r="Q49" s="17">
        <v>0</v>
      </c>
      <c r="S49" s="17">
        <v>0</v>
      </c>
      <c r="U49" s="17">
        <v>0</v>
      </c>
      <c r="W49" s="17">
        <v>0</v>
      </c>
      <c r="Y49" s="17">
        <v>0</v>
      </c>
      <c r="AA49" s="17">
        <v>0</v>
      </c>
      <c r="AC49" s="17">
        <v>0</v>
      </c>
      <c r="AE49" s="17">
        <v>0</v>
      </c>
      <c r="AG49" s="13">
        <f t="shared" si="0"/>
        <v>0</v>
      </c>
      <c r="AH49" s="13">
        <f t="shared" si="1"/>
        <v>0</v>
      </c>
      <c r="AI49" s="13">
        <f t="shared" si="2"/>
        <v>0</v>
      </c>
    </row>
    <row r="50" spans="1:35" x14ac:dyDescent="0.3">
      <c r="A50" s="16">
        <v>2053</v>
      </c>
      <c r="C50" s="17">
        <v>0</v>
      </c>
      <c r="E50" s="17">
        <v>0</v>
      </c>
      <c r="G50" s="17">
        <v>0</v>
      </c>
      <c r="I50" s="17">
        <v>0</v>
      </c>
      <c r="K50" s="18">
        <v>0</v>
      </c>
      <c r="M50" s="18">
        <v>0</v>
      </c>
      <c r="O50" s="17">
        <v>0</v>
      </c>
      <c r="Q50" s="17">
        <v>0</v>
      </c>
      <c r="S50" s="17">
        <v>0</v>
      </c>
      <c r="U50" s="17">
        <v>0</v>
      </c>
      <c r="W50" s="17">
        <v>0</v>
      </c>
      <c r="Y50" s="17">
        <v>0</v>
      </c>
      <c r="AA50" s="17">
        <v>0</v>
      </c>
      <c r="AC50" s="17">
        <v>0</v>
      </c>
      <c r="AE50" s="17">
        <v>0</v>
      </c>
      <c r="AG50" s="13">
        <f t="shared" si="0"/>
        <v>0</v>
      </c>
      <c r="AH50" s="13">
        <f t="shared" si="1"/>
        <v>0</v>
      </c>
      <c r="AI50" s="13">
        <f t="shared" si="2"/>
        <v>0</v>
      </c>
    </row>
    <row r="51" spans="1:35" ht="21.9" customHeight="1" x14ac:dyDescent="0.3">
      <c r="A51" s="16">
        <v>2054</v>
      </c>
      <c r="C51" s="17">
        <v>0</v>
      </c>
      <c r="E51" s="17">
        <v>0</v>
      </c>
      <c r="G51" s="17">
        <v>0</v>
      </c>
      <c r="I51" s="17">
        <v>0</v>
      </c>
      <c r="K51" s="18">
        <v>0</v>
      </c>
      <c r="M51" s="18">
        <v>0</v>
      </c>
      <c r="O51" s="17">
        <v>0</v>
      </c>
      <c r="Q51" s="17">
        <v>0</v>
      </c>
      <c r="S51" s="17">
        <v>0</v>
      </c>
      <c r="U51" s="17">
        <v>0</v>
      </c>
      <c r="W51" s="17">
        <v>0</v>
      </c>
      <c r="Y51" s="17">
        <v>0</v>
      </c>
      <c r="AA51" s="17">
        <v>0</v>
      </c>
      <c r="AC51" s="17">
        <v>0</v>
      </c>
      <c r="AE51" s="17">
        <v>0</v>
      </c>
      <c r="AG51" s="13">
        <f t="shared" si="0"/>
        <v>0</v>
      </c>
      <c r="AH51" s="13">
        <f t="shared" si="1"/>
        <v>0</v>
      </c>
      <c r="AI51" s="13">
        <f t="shared" si="2"/>
        <v>0</v>
      </c>
    </row>
    <row r="52" spans="1:35" x14ac:dyDescent="0.3">
      <c r="A52" s="16">
        <v>2055</v>
      </c>
      <c r="C52" s="17">
        <v>0</v>
      </c>
      <c r="E52" s="17">
        <v>0</v>
      </c>
      <c r="G52" s="17">
        <v>0</v>
      </c>
      <c r="I52" s="17">
        <v>0</v>
      </c>
      <c r="K52" s="18">
        <v>0</v>
      </c>
      <c r="M52" s="18">
        <v>0</v>
      </c>
      <c r="O52" s="17">
        <v>0</v>
      </c>
      <c r="Q52" s="17">
        <v>0</v>
      </c>
      <c r="S52" s="17">
        <v>0</v>
      </c>
      <c r="U52" s="17">
        <v>0</v>
      </c>
      <c r="W52" s="17">
        <v>0</v>
      </c>
      <c r="Y52" s="17">
        <v>0</v>
      </c>
      <c r="AA52" s="17">
        <v>0</v>
      </c>
      <c r="AC52" s="17">
        <v>0</v>
      </c>
      <c r="AE52" s="17">
        <v>0</v>
      </c>
      <c r="AG52" s="13">
        <f t="shared" si="0"/>
        <v>0</v>
      </c>
      <c r="AH52" s="13">
        <f t="shared" si="1"/>
        <v>0</v>
      </c>
      <c r="AI52" s="13">
        <f t="shared" si="2"/>
        <v>0</v>
      </c>
    </row>
    <row r="53" spans="1:35" x14ac:dyDescent="0.3">
      <c r="A53" s="16">
        <v>2056</v>
      </c>
      <c r="C53" s="17">
        <v>0</v>
      </c>
      <c r="E53" s="17">
        <v>0</v>
      </c>
      <c r="G53" s="17">
        <v>0</v>
      </c>
      <c r="I53" s="17">
        <v>0</v>
      </c>
      <c r="K53" s="18">
        <v>0</v>
      </c>
      <c r="M53" s="18">
        <v>0</v>
      </c>
      <c r="O53" s="17">
        <v>0</v>
      </c>
      <c r="Q53" s="17">
        <v>0</v>
      </c>
      <c r="S53" s="17">
        <v>0</v>
      </c>
      <c r="U53" s="17">
        <v>0</v>
      </c>
      <c r="W53" s="17">
        <v>0</v>
      </c>
      <c r="Y53" s="17">
        <v>0</v>
      </c>
      <c r="AA53" s="17">
        <v>0</v>
      </c>
      <c r="AC53" s="17">
        <v>0</v>
      </c>
      <c r="AE53" s="17">
        <v>0</v>
      </c>
      <c r="AG53" s="13">
        <f t="shared" si="0"/>
        <v>0</v>
      </c>
      <c r="AH53" s="13">
        <f t="shared" si="1"/>
        <v>0</v>
      </c>
      <c r="AI53" s="13">
        <f t="shared" si="2"/>
        <v>0</v>
      </c>
    </row>
    <row r="54" spans="1:35" x14ac:dyDescent="0.3">
      <c r="A54" s="16">
        <v>2057</v>
      </c>
      <c r="C54" s="17">
        <v>0</v>
      </c>
      <c r="E54" s="17">
        <v>0</v>
      </c>
      <c r="G54" s="17">
        <v>0</v>
      </c>
      <c r="I54" s="17">
        <v>0</v>
      </c>
      <c r="K54" s="18">
        <v>0</v>
      </c>
      <c r="M54" s="18">
        <v>0</v>
      </c>
      <c r="O54" s="17">
        <v>0</v>
      </c>
      <c r="Q54" s="17">
        <v>0</v>
      </c>
      <c r="S54" s="17">
        <v>0</v>
      </c>
      <c r="U54" s="17">
        <v>0</v>
      </c>
      <c r="W54" s="17">
        <v>0</v>
      </c>
      <c r="Y54" s="17">
        <v>0</v>
      </c>
      <c r="AA54" s="17">
        <v>0</v>
      </c>
      <c r="AC54" s="17">
        <v>0</v>
      </c>
      <c r="AE54" s="17">
        <v>0</v>
      </c>
      <c r="AG54" s="13">
        <f t="shared" si="0"/>
        <v>0</v>
      </c>
      <c r="AH54" s="13">
        <f t="shared" si="1"/>
        <v>0</v>
      </c>
      <c r="AI54" s="13">
        <f t="shared" si="2"/>
        <v>0</v>
      </c>
    </row>
    <row r="55" spans="1:35" x14ac:dyDescent="0.3">
      <c r="A55" s="16">
        <v>2058</v>
      </c>
      <c r="C55" s="17">
        <v>0</v>
      </c>
      <c r="E55" s="17">
        <v>0</v>
      </c>
      <c r="G55" s="17">
        <v>0</v>
      </c>
      <c r="I55" s="17">
        <v>0</v>
      </c>
      <c r="K55" s="18">
        <v>0</v>
      </c>
      <c r="M55" s="18">
        <v>0</v>
      </c>
      <c r="O55" s="17">
        <v>0</v>
      </c>
      <c r="Q55" s="17">
        <v>0</v>
      </c>
      <c r="S55" s="17">
        <v>0</v>
      </c>
      <c r="U55" s="17">
        <v>0</v>
      </c>
      <c r="W55" s="17">
        <v>0</v>
      </c>
      <c r="Y55" s="17">
        <v>0</v>
      </c>
      <c r="AA55" s="17">
        <v>0</v>
      </c>
      <c r="AC55" s="17">
        <v>0</v>
      </c>
      <c r="AE55" s="17">
        <v>0</v>
      </c>
      <c r="AG55" s="13">
        <f t="shared" si="0"/>
        <v>0</v>
      </c>
      <c r="AH55" s="13">
        <f t="shared" si="1"/>
        <v>0</v>
      </c>
      <c r="AI55" s="13">
        <f t="shared" si="2"/>
        <v>0</v>
      </c>
    </row>
    <row r="56" spans="1:35" ht="21.9" customHeight="1" x14ac:dyDescent="0.3">
      <c r="A56" s="16">
        <v>2059</v>
      </c>
      <c r="C56" s="17">
        <v>0</v>
      </c>
      <c r="E56" s="17">
        <v>0</v>
      </c>
      <c r="G56" s="17">
        <v>0</v>
      </c>
      <c r="I56" s="17">
        <v>0</v>
      </c>
      <c r="K56" s="18">
        <v>0</v>
      </c>
      <c r="M56" s="18">
        <v>0</v>
      </c>
      <c r="O56" s="17">
        <v>0</v>
      </c>
      <c r="Q56" s="17">
        <v>0</v>
      </c>
      <c r="S56" s="17">
        <v>0</v>
      </c>
      <c r="U56" s="17">
        <v>0</v>
      </c>
      <c r="W56" s="17">
        <v>0</v>
      </c>
      <c r="Y56" s="17">
        <v>0</v>
      </c>
      <c r="AA56" s="17">
        <v>0</v>
      </c>
      <c r="AC56" s="17">
        <v>0</v>
      </c>
      <c r="AE56" s="17">
        <v>0</v>
      </c>
      <c r="AG56" s="13">
        <f t="shared" si="0"/>
        <v>0</v>
      </c>
      <c r="AH56" s="13">
        <f t="shared" si="1"/>
        <v>0</v>
      </c>
      <c r="AI56" s="13">
        <f t="shared" si="2"/>
        <v>0</v>
      </c>
    </row>
    <row r="57" spans="1:35" x14ac:dyDescent="0.3">
      <c r="A57" s="16">
        <v>2060</v>
      </c>
      <c r="C57" s="19">
        <v>0</v>
      </c>
      <c r="E57" s="19">
        <v>0</v>
      </c>
      <c r="G57" s="19">
        <v>0</v>
      </c>
      <c r="I57" s="19">
        <v>0</v>
      </c>
      <c r="K57" s="18">
        <v>0</v>
      </c>
      <c r="M57" s="18">
        <v>0</v>
      </c>
      <c r="O57" s="19">
        <v>0</v>
      </c>
      <c r="Q57" s="19">
        <v>0</v>
      </c>
      <c r="S57" s="19">
        <v>0</v>
      </c>
      <c r="U57" s="19">
        <v>0</v>
      </c>
      <c r="W57" s="19">
        <v>0</v>
      </c>
      <c r="Y57" s="19">
        <v>0</v>
      </c>
      <c r="AA57" s="19">
        <v>0</v>
      </c>
      <c r="AC57" s="19">
        <v>0</v>
      </c>
      <c r="AE57" s="19">
        <v>0</v>
      </c>
      <c r="AG57" s="13">
        <f t="shared" si="0"/>
        <v>0</v>
      </c>
      <c r="AH57" s="13">
        <f t="shared" si="1"/>
        <v>0</v>
      </c>
      <c r="AI57" s="13">
        <f t="shared" si="2"/>
        <v>0</v>
      </c>
    </row>
    <row r="58" spans="1:35" x14ac:dyDescent="0.3">
      <c r="AG58" s="13"/>
      <c r="AH58" s="13"/>
      <c r="AI58" s="13"/>
    </row>
    <row r="59" spans="1:35" x14ac:dyDescent="0.3">
      <c r="A59" s="231" t="s">
        <v>2</v>
      </c>
      <c r="C59" s="232">
        <v>321559</v>
      </c>
      <c r="E59" s="232">
        <v>85835</v>
      </c>
      <c r="G59" s="232">
        <v>292510</v>
      </c>
      <c r="I59" s="232">
        <v>78297</v>
      </c>
      <c r="O59" s="232">
        <v>17677409</v>
      </c>
      <c r="Q59" s="232">
        <v>276155</v>
      </c>
      <c r="S59" s="232">
        <v>1192759</v>
      </c>
      <c r="U59" s="232">
        <v>1895909</v>
      </c>
      <c r="W59" s="232">
        <v>1545868</v>
      </c>
      <c r="Y59" s="232">
        <v>761355</v>
      </c>
      <c r="AA59" s="232">
        <v>467998</v>
      </c>
      <c r="AC59" s="232">
        <v>12089675</v>
      </c>
      <c r="AE59" s="232">
        <v>6596492</v>
      </c>
      <c r="AG59" s="13"/>
      <c r="AH59" s="13"/>
      <c r="AI59" s="13"/>
    </row>
    <row r="60" spans="1:35" x14ac:dyDescent="0.3">
      <c r="AG60" s="13"/>
      <c r="AH60" s="13"/>
      <c r="AI60" s="13"/>
    </row>
    <row r="61" spans="1:35" ht="21.9" customHeight="1" x14ac:dyDescent="0.3">
      <c r="A61" t="s">
        <v>47</v>
      </c>
      <c r="AC61" s="228" t="s">
        <v>729</v>
      </c>
      <c r="AD61" s="15"/>
      <c r="AE61" s="15"/>
      <c r="AG61" s="13"/>
      <c r="AH61" s="13"/>
      <c r="AI61" s="13"/>
    </row>
    <row r="62" spans="1:35" x14ac:dyDescent="0.3">
      <c r="A62" t="s">
        <v>79</v>
      </c>
      <c r="AC62" s="20" t="s">
        <v>48</v>
      </c>
      <c r="AE62" s="17">
        <v>8837702</v>
      </c>
      <c r="AG62" s="13"/>
      <c r="AH62" s="13"/>
      <c r="AI62" s="13"/>
    </row>
    <row r="63" spans="1:35" x14ac:dyDescent="0.3">
      <c r="A63" t="s">
        <v>80</v>
      </c>
      <c r="AC63" s="20" t="s">
        <v>49</v>
      </c>
      <c r="AE63" s="17">
        <v>5049476</v>
      </c>
      <c r="AG63" s="13"/>
      <c r="AH63" s="13"/>
      <c r="AI63" s="13"/>
    </row>
    <row r="64" spans="1:35" x14ac:dyDescent="0.3">
      <c r="A64" t="s">
        <v>81</v>
      </c>
      <c r="AC64" s="20" t="s">
        <v>50</v>
      </c>
      <c r="AE64" s="17">
        <v>3963533</v>
      </c>
      <c r="AG64" s="13"/>
      <c r="AH64" s="13"/>
      <c r="AI64" s="13"/>
    </row>
    <row r="65" spans="1:1" x14ac:dyDescent="0.3">
      <c r="A65" t="s">
        <v>721</v>
      </c>
    </row>
    <row r="66" spans="1:1" x14ac:dyDescent="0.3">
      <c r="A66" s="233" t="s">
        <v>726</v>
      </c>
    </row>
    <row r="67" spans="1:1" x14ac:dyDescent="0.3">
      <c r="A67" t="s">
        <v>722</v>
      </c>
    </row>
    <row r="68" spans="1:1" x14ac:dyDescent="0.3">
      <c r="A68" s="233" t="s">
        <v>727</v>
      </c>
    </row>
  </sheetData>
  <printOptions horizontalCentered="1"/>
  <pageMargins left="0.5" right="0.5" top="0.75" bottom="1" header="0.3" footer="0.3"/>
  <pageSetup scale="4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8FBF1-CDD5-45F9-9AB8-EFD36CA21D49}">
  <sheetPr>
    <tabColor rgb="FF7030A0"/>
    <pageSetUpPr fitToPage="1"/>
  </sheetPr>
  <dimension ref="A1:AI69"/>
  <sheetViews>
    <sheetView showGridLines="0" zoomScaleNormal="100" zoomScaleSheetLayoutView="100" workbookViewId="0">
      <selection activeCell="AA40" sqref="AA40"/>
    </sheetView>
  </sheetViews>
  <sheetFormatPr defaultRowHeight="14.4" x14ac:dyDescent="0.3"/>
  <cols>
    <col min="1" max="1" width="6" bestFit="1" customWidth="1"/>
    <col min="2" max="2" width="1.6640625" customWidth="1"/>
    <col min="3" max="3" width="9.5546875" customWidth="1"/>
    <col min="4" max="4" width="1.6640625" customWidth="1"/>
    <col min="5" max="5" width="9.5546875" customWidth="1"/>
    <col min="6" max="6" width="1.6640625" customWidth="1"/>
    <col min="7" max="7" width="9.5546875" customWidth="1"/>
    <col min="8" max="8" width="1.6640625" customWidth="1"/>
    <col min="9" max="9" width="9.5546875" customWidth="1"/>
    <col min="10" max="10" width="1.6640625" customWidth="1"/>
    <col min="11" max="11" width="13.33203125" customWidth="1"/>
    <col min="12" max="12" width="1.6640625" customWidth="1"/>
    <col min="13" max="13" width="13.33203125" bestFit="1" customWidth="1"/>
    <col min="14" max="14" width="1.6640625" customWidth="1"/>
    <col min="15" max="15" width="14.5546875" customWidth="1"/>
    <col min="16" max="16" width="1.6640625" customWidth="1"/>
    <col min="17" max="17" width="14.5546875" customWidth="1"/>
    <col min="18" max="18" width="1.6640625" customWidth="1"/>
    <col min="19" max="19" width="14.5546875" customWidth="1"/>
    <col min="20" max="20" width="1.6640625" customWidth="1"/>
    <col min="21" max="21" width="14.5546875" customWidth="1"/>
    <col min="22" max="22" width="1.6640625" customWidth="1"/>
    <col min="23" max="23" width="14.5546875" customWidth="1"/>
    <col min="24" max="24" width="1.6640625" customWidth="1"/>
    <col min="25" max="25" width="14.5546875" bestFit="1" customWidth="1"/>
    <col min="26" max="26" width="1.6640625" customWidth="1"/>
    <col min="27" max="27" width="14.5546875" customWidth="1"/>
    <col min="28" max="28" width="1.6640625" customWidth="1"/>
    <col min="29" max="29" width="14.5546875" customWidth="1"/>
    <col min="30" max="30" width="1.6640625" customWidth="1"/>
    <col min="31" max="31" width="14.5546875" customWidth="1"/>
    <col min="32" max="32" width="2.21875" customWidth="1"/>
  </cols>
  <sheetData>
    <row r="1" spans="1:34" x14ac:dyDescent="0.3">
      <c r="A1" s="226" t="s">
        <v>53</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row>
    <row r="2" spans="1:34" x14ac:dyDescent="0.3">
      <c r="A2" s="226" t="s">
        <v>64</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spans="1:34" x14ac:dyDescent="0.3">
      <c r="A3" s="226" t="s">
        <v>24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row>
    <row r="4" spans="1:34" x14ac:dyDescent="0.3">
      <c r="A4" s="226" t="s">
        <v>718</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row>
    <row r="5" spans="1:34" x14ac:dyDescent="0.3">
      <c r="A5" s="226" t="s">
        <v>62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row>
    <row r="6" spans="1:34" x14ac:dyDescent="0.3">
      <c r="A6" s="226" t="s">
        <v>61</v>
      </c>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row>
    <row r="7" spans="1:34" x14ac:dyDescent="0.3">
      <c r="A7" s="226" t="s">
        <v>25</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spans="1:34" x14ac:dyDescent="0.3">
      <c r="A8" s="226" t="s">
        <v>26</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spans="1:34" x14ac:dyDescent="0.3">
      <c r="A9" s="226" t="s">
        <v>27</v>
      </c>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row>
    <row r="10" spans="1:34" x14ac:dyDescent="0.3">
      <c r="A10" s="226" t="s">
        <v>719</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row>
    <row r="11" spans="1:34" x14ac:dyDescent="0.3">
      <c r="A11" s="226" t="s">
        <v>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row>
    <row r="12" spans="1:34" x14ac:dyDescent="0.3">
      <c r="A12" s="226" t="s">
        <v>5</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row>
    <row r="13" spans="1:34" x14ac:dyDescent="0.3">
      <c r="A13" s="226" t="s">
        <v>5</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spans="1:34" x14ac:dyDescent="0.3">
      <c r="K14" s="227"/>
      <c r="L14" s="14"/>
      <c r="M14" s="14"/>
    </row>
    <row r="15" spans="1:34" x14ac:dyDescent="0.3">
      <c r="C15" s="227" t="s">
        <v>31</v>
      </c>
      <c r="D15" s="14"/>
      <c r="E15" s="14"/>
      <c r="G15" s="227" t="s">
        <v>37</v>
      </c>
      <c r="H15" s="14"/>
      <c r="I15" s="14"/>
      <c r="K15" s="227" t="s">
        <v>76</v>
      </c>
      <c r="L15" s="14"/>
      <c r="M15" s="14"/>
    </row>
    <row r="16" spans="1:34" x14ac:dyDescent="0.3">
      <c r="C16" s="228" t="s">
        <v>52</v>
      </c>
      <c r="D16" s="15"/>
      <c r="E16" s="15"/>
      <c r="G16" s="228" t="s">
        <v>52</v>
      </c>
      <c r="H16" s="15"/>
      <c r="I16" s="15"/>
      <c r="K16" s="228" t="s">
        <v>77</v>
      </c>
      <c r="L16" s="15"/>
      <c r="M16" s="15"/>
      <c r="O16" s="229" t="s">
        <v>28</v>
      </c>
      <c r="S16" s="229" t="s">
        <v>14</v>
      </c>
      <c r="AC16" s="229" t="s">
        <v>28</v>
      </c>
      <c r="AE16" s="229" t="s">
        <v>29</v>
      </c>
      <c r="AG16" s="9" t="s">
        <v>14</v>
      </c>
      <c r="AH16" s="9"/>
    </row>
    <row r="17" spans="1:35" x14ac:dyDescent="0.3">
      <c r="E17" s="229" t="s">
        <v>30</v>
      </c>
      <c r="I17" s="229" t="s">
        <v>30</v>
      </c>
      <c r="M17" s="229" t="s">
        <v>30</v>
      </c>
      <c r="O17" s="229" t="s">
        <v>31</v>
      </c>
      <c r="S17" s="229" t="s">
        <v>33</v>
      </c>
      <c r="U17" s="229" t="s">
        <v>34</v>
      </c>
      <c r="W17" s="229" t="s">
        <v>35</v>
      </c>
      <c r="Y17" s="229" t="s">
        <v>36</v>
      </c>
      <c r="AC17" s="229" t="s">
        <v>37</v>
      </c>
      <c r="AE17" s="229" t="s">
        <v>38</v>
      </c>
      <c r="AG17" s="9" t="s">
        <v>33</v>
      </c>
      <c r="AH17" s="9"/>
      <c r="AI17" s="229" t="s">
        <v>750</v>
      </c>
    </row>
    <row r="18" spans="1:35" x14ac:dyDescent="0.3">
      <c r="C18" s="229" t="s">
        <v>39</v>
      </c>
      <c r="E18" s="229" t="s">
        <v>40</v>
      </c>
      <c r="G18" s="229" t="s">
        <v>39</v>
      </c>
      <c r="I18" s="229" t="s">
        <v>40</v>
      </c>
      <c r="K18" s="229" t="s">
        <v>39</v>
      </c>
      <c r="M18" s="229" t="s">
        <v>40</v>
      </c>
      <c r="O18" s="229" t="s">
        <v>41</v>
      </c>
      <c r="Q18" s="229" t="s">
        <v>720</v>
      </c>
      <c r="S18" s="229" t="s">
        <v>32</v>
      </c>
      <c r="U18" s="229" t="s">
        <v>42</v>
      </c>
      <c r="W18" s="229" t="s">
        <v>43</v>
      </c>
      <c r="Y18" s="229" t="s">
        <v>78</v>
      </c>
      <c r="AA18" s="229" t="s">
        <v>44</v>
      </c>
      <c r="AC18" s="229" t="s">
        <v>41</v>
      </c>
      <c r="AE18" s="229" t="s">
        <v>45</v>
      </c>
      <c r="AG18" s="9" t="s">
        <v>32</v>
      </c>
      <c r="AH18" s="9" t="s">
        <v>44</v>
      </c>
      <c r="AI18" s="9" t="s">
        <v>751</v>
      </c>
    </row>
    <row r="19" spans="1:35" ht="16.8" x14ac:dyDescent="0.3">
      <c r="A19" s="230" t="s">
        <v>1</v>
      </c>
      <c r="C19" s="230" t="s">
        <v>723</v>
      </c>
      <c r="E19" s="230" t="s">
        <v>724</v>
      </c>
      <c r="G19" s="230" t="s">
        <v>723</v>
      </c>
      <c r="I19" s="230" t="s">
        <v>724</v>
      </c>
      <c r="K19" s="230" t="s">
        <v>46</v>
      </c>
      <c r="M19" s="230" t="s">
        <v>725</v>
      </c>
      <c r="O19" s="230" t="s">
        <v>728</v>
      </c>
      <c r="Q19" s="230" t="s">
        <v>728</v>
      </c>
      <c r="S19" s="230" t="s">
        <v>728</v>
      </c>
      <c r="U19" s="230" t="s">
        <v>728</v>
      </c>
      <c r="W19" s="230" t="s">
        <v>728</v>
      </c>
      <c r="Y19" s="230" t="s">
        <v>728</v>
      </c>
      <c r="AA19" s="230" t="s">
        <v>728</v>
      </c>
      <c r="AC19" s="230" t="s">
        <v>728</v>
      </c>
      <c r="AE19" s="230" t="s">
        <v>728</v>
      </c>
      <c r="AG19" s="10" t="s">
        <v>71</v>
      </c>
      <c r="AH19" s="10" t="s">
        <v>71</v>
      </c>
      <c r="AI19" s="10" t="s">
        <v>71</v>
      </c>
    </row>
    <row r="20" spans="1:35" x14ac:dyDescent="0.3">
      <c r="AG20" s="8"/>
      <c r="AH20" s="8"/>
      <c r="AI20" s="8"/>
    </row>
    <row r="21" spans="1:35" x14ac:dyDescent="0.3">
      <c r="A21" s="16">
        <v>2024</v>
      </c>
      <c r="C21" s="17">
        <v>13503</v>
      </c>
      <c r="E21" s="17">
        <v>3217</v>
      </c>
      <c r="G21" s="17">
        <v>12152</v>
      </c>
      <c r="I21" s="17">
        <v>2895</v>
      </c>
      <c r="K21" s="18">
        <v>60</v>
      </c>
      <c r="M21" s="18">
        <v>1.62</v>
      </c>
      <c r="O21" s="17">
        <v>733828</v>
      </c>
      <c r="Q21" s="17">
        <v>10102</v>
      </c>
      <c r="S21" s="17">
        <v>58440</v>
      </c>
      <c r="U21" s="17">
        <v>81900</v>
      </c>
      <c r="W21" s="17">
        <v>97555</v>
      </c>
      <c r="Y21" s="17">
        <v>11700</v>
      </c>
      <c r="AA21" s="17">
        <v>6701</v>
      </c>
      <c r="AC21" s="17">
        <v>487635</v>
      </c>
      <c r="AE21" s="17">
        <v>462217</v>
      </c>
      <c r="AG21" s="13">
        <f t="shared" ref="AG21:AG57" si="0">IFERROR(S21/O21,0)</f>
        <v>7.9637190186256174E-2</v>
      </c>
      <c r="AH21" s="13">
        <f t="shared" ref="AH21:AH57" si="1">IFERROR(AA21/O21,0)</f>
        <v>9.1315676152994973E-3</v>
      </c>
      <c r="AI21" s="13">
        <f>IFERROR(Q21/O21,0)</f>
        <v>1.376616863897262E-2</v>
      </c>
    </row>
    <row r="22" spans="1:35" x14ac:dyDescent="0.3">
      <c r="A22" s="16">
        <v>2025</v>
      </c>
      <c r="C22" s="17">
        <v>20894</v>
      </c>
      <c r="E22" s="17">
        <v>7411</v>
      </c>
      <c r="G22" s="17">
        <v>19285</v>
      </c>
      <c r="I22" s="17">
        <v>6829</v>
      </c>
      <c r="K22" s="18">
        <v>60</v>
      </c>
      <c r="M22" s="18">
        <v>1.62</v>
      </c>
      <c r="O22" s="17">
        <v>1168158</v>
      </c>
      <c r="Q22" s="17">
        <v>21647</v>
      </c>
      <c r="S22" s="17">
        <v>76026</v>
      </c>
      <c r="U22" s="17">
        <v>83995</v>
      </c>
      <c r="W22" s="17">
        <v>264956</v>
      </c>
      <c r="Y22" s="17">
        <v>11700</v>
      </c>
      <c r="AA22" s="17">
        <v>33412</v>
      </c>
      <c r="AC22" s="17">
        <v>719714</v>
      </c>
      <c r="AE22" s="17">
        <v>617536</v>
      </c>
      <c r="AG22" s="13">
        <f t="shared" si="0"/>
        <v>6.5081949530799765E-2</v>
      </c>
      <c r="AH22" s="13">
        <f t="shared" si="1"/>
        <v>2.8602295237459316E-2</v>
      </c>
      <c r="AI22" s="13">
        <f t="shared" ref="AI22:AI57" si="2">IFERROR(Q22/O22,0)</f>
        <v>1.853088366470974E-2</v>
      </c>
    </row>
    <row r="23" spans="1:35" x14ac:dyDescent="0.3">
      <c r="A23" s="16">
        <v>2026</v>
      </c>
      <c r="C23" s="17">
        <v>27497</v>
      </c>
      <c r="E23" s="17">
        <v>10836</v>
      </c>
      <c r="G23" s="17">
        <v>25622</v>
      </c>
      <c r="I23" s="17">
        <v>10082</v>
      </c>
      <c r="K23" s="18">
        <v>60</v>
      </c>
      <c r="M23" s="18">
        <v>1.62</v>
      </c>
      <c r="O23" s="17">
        <v>1553634</v>
      </c>
      <c r="Q23" s="17">
        <v>29796</v>
      </c>
      <c r="S23" s="17">
        <v>90672</v>
      </c>
      <c r="U23" s="17">
        <v>84785</v>
      </c>
      <c r="W23" s="17">
        <v>224312</v>
      </c>
      <c r="Y23" s="17">
        <v>23400</v>
      </c>
      <c r="AA23" s="17">
        <v>77159</v>
      </c>
      <c r="AC23" s="17">
        <v>1083104</v>
      </c>
      <c r="AE23" s="17">
        <v>841245</v>
      </c>
      <c r="AG23" s="13">
        <f t="shared" si="0"/>
        <v>5.8361235657819026E-2</v>
      </c>
      <c r="AH23" s="13">
        <f t="shared" si="1"/>
        <v>4.966356297557855E-2</v>
      </c>
      <c r="AI23" s="13">
        <f t="shared" si="2"/>
        <v>1.9178262061721102E-2</v>
      </c>
    </row>
    <row r="24" spans="1:35" x14ac:dyDescent="0.3">
      <c r="A24" s="16">
        <v>2027</v>
      </c>
      <c r="C24" s="17">
        <v>33760</v>
      </c>
      <c r="E24" s="17">
        <v>13972</v>
      </c>
      <c r="G24" s="17">
        <v>31100</v>
      </c>
      <c r="I24" s="17">
        <v>12865</v>
      </c>
      <c r="K24" s="18">
        <v>60</v>
      </c>
      <c r="M24" s="18">
        <v>1.62</v>
      </c>
      <c r="O24" s="17">
        <v>1886865</v>
      </c>
      <c r="Q24" s="17">
        <v>36792</v>
      </c>
      <c r="S24" s="17">
        <v>103338</v>
      </c>
      <c r="U24" s="17">
        <v>83835</v>
      </c>
      <c r="W24" s="17">
        <v>274098</v>
      </c>
      <c r="Y24" s="17">
        <v>0</v>
      </c>
      <c r="AA24" s="17">
        <v>119273</v>
      </c>
      <c r="AC24" s="17">
        <v>1343111</v>
      </c>
      <c r="AE24" s="17">
        <v>944311</v>
      </c>
      <c r="AG24" s="13">
        <f t="shared" si="0"/>
        <v>5.4767034207534718E-2</v>
      </c>
      <c r="AH24" s="13">
        <f t="shared" si="1"/>
        <v>6.3212259488622663E-2</v>
      </c>
      <c r="AI24" s="13">
        <f t="shared" si="2"/>
        <v>1.9499010263055387E-2</v>
      </c>
    </row>
    <row r="25" spans="1:35" x14ac:dyDescent="0.3">
      <c r="A25" s="16">
        <v>2028</v>
      </c>
      <c r="C25" s="17">
        <v>35753</v>
      </c>
      <c r="E25" s="17">
        <v>14500</v>
      </c>
      <c r="G25" s="17">
        <v>32732</v>
      </c>
      <c r="I25" s="17">
        <v>13276</v>
      </c>
      <c r="K25" s="18">
        <v>60</v>
      </c>
      <c r="M25" s="18">
        <v>1.62</v>
      </c>
      <c r="O25" s="17">
        <v>1985379</v>
      </c>
      <c r="Q25" s="17">
        <v>35992</v>
      </c>
      <c r="S25" s="17">
        <v>106153</v>
      </c>
      <c r="U25" s="17">
        <v>83304</v>
      </c>
      <c r="W25" s="17">
        <v>215205</v>
      </c>
      <c r="Y25" s="17">
        <v>11700</v>
      </c>
      <c r="AA25" s="17">
        <v>134971</v>
      </c>
      <c r="AC25" s="17">
        <v>1470039</v>
      </c>
      <c r="AE25" s="17">
        <v>935583</v>
      </c>
      <c r="AG25" s="13">
        <f t="shared" si="0"/>
        <v>5.346737323201263E-2</v>
      </c>
      <c r="AH25" s="13">
        <f t="shared" si="1"/>
        <v>6.7982485963637165E-2</v>
      </c>
      <c r="AI25" s="13">
        <f t="shared" si="2"/>
        <v>1.8128528608391647E-2</v>
      </c>
    </row>
    <row r="26" spans="1:35" ht="21.9" customHeight="1" x14ac:dyDescent="0.3">
      <c r="A26" s="16">
        <v>2029</v>
      </c>
      <c r="C26" s="17">
        <v>40203</v>
      </c>
      <c r="E26" s="17">
        <v>15758</v>
      </c>
      <c r="G26" s="17">
        <v>36603</v>
      </c>
      <c r="I26" s="17">
        <v>14357</v>
      </c>
      <c r="K26" s="18">
        <v>60</v>
      </c>
      <c r="M26" s="18">
        <v>1.62</v>
      </c>
      <c r="O26" s="17">
        <v>2219429</v>
      </c>
      <c r="Q26" s="17">
        <v>33920</v>
      </c>
      <c r="S26" s="17">
        <v>114905</v>
      </c>
      <c r="U26" s="17">
        <v>82854</v>
      </c>
      <c r="W26" s="17">
        <v>217742</v>
      </c>
      <c r="Y26" s="17">
        <v>11700</v>
      </c>
      <c r="AA26" s="17">
        <v>173961</v>
      </c>
      <c r="AC26" s="17">
        <v>1652187</v>
      </c>
      <c r="AE26" s="17">
        <v>951837</v>
      </c>
      <c r="AG26" s="13">
        <f t="shared" si="0"/>
        <v>5.1772325224190549E-2</v>
      </c>
      <c r="AH26" s="13">
        <f t="shared" si="1"/>
        <v>7.8380970961449997E-2</v>
      </c>
      <c r="AI26" s="13">
        <f t="shared" si="2"/>
        <v>1.5283210231099981E-2</v>
      </c>
    </row>
    <row r="27" spans="1:35" x14ac:dyDescent="0.3">
      <c r="A27" s="16">
        <v>2030</v>
      </c>
      <c r="C27" s="17">
        <v>38350</v>
      </c>
      <c r="E27" s="17">
        <v>14576</v>
      </c>
      <c r="G27" s="17">
        <v>34837</v>
      </c>
      <c r="I27" s="17">
        <v>13251</v>
      </c>
      <c r="K27" s="18">
        <v>60</v>
      </c>
      <c r="M27" s="18">
        <v>1.62</v>
      </c>
      <c r="O27" s="17">
        <v>2111717</v>
      </c>
      <c r="Q27" s="17">
        <v>30488</v>
      </c>
      <c r="S27" s="17">
        <v>109131</v>
      </c>
      <c r="U27" s="17">
        <v>82667</v>
      </c>
      <c r="W27" s="17">
        <v>18000</v>
      </c>
      <c r="Y27" s="17">
        <v>0</v>
      </c>
      <c r="AA27" s="17">
        <v>153512</v>
      </c>
      <c r="AC27" s="17">
        <v>1778896</v>
      </c>
      <c r="AE27" s="17">
        <v>927695</v>
      </c>
      <c r="AG27" s="13">
        <f t="shared" si="0"/>
        <v>5.1678799763415266E-2</v>
      </c>
      <c r="AH27" s="13">
        <f t="shared" si="1"/>
        <v>7.2695346961737767E-2</v>
      </c>
      <c r="AI27" s="13">
        <f t="shared" si="2"/>
        <v>1.4437540636363679E-2</v>
      </c>
    </row>
    <row r="28" spans="1:35" x14ac:dyDescent="0.3">
      <c r="A28" s="16">
        <v>2031</v>
      </c>
      <c r="C28" s="17">
        <v>32569</v>
      </c>
      <c r="E28" s="17">
        <v>11732</v>
      </c>
      <c r="G28" s="17">
        <v>29559</v>
      </c>
      <c r="I28" s="17">
        <v>10654</v>
      </c>
      <c r="K28" s="18">
        <v>60</v>
      </c>
      <c r="M28" s="18">
        <v>1.62</v>
      </c>
      <c r="O28" s="17">
        <v>1790801</v>
      </c>
      <c r="Q28" s="17">
        <v>25664</v>
      </c>
      <c r="S28" s="17">
        <v>94442</v>
      </c>
      <c r="U28" s="17">
        <v>82591</v>
      </c>
      <c r="W28" s="17">
        <v>18000</v>
      </c>
      <c r="Y28" s="17">
        <v>0</v>
      </c>
      <c r="AA28" s="17">
        <v>100119</v>
      </c>
      <c r="AC28" s="17">
        <v>1521311</v>
      </c>
      <c r="AE28" s="17">
        <v>718163</v>
      </c>
      <c r="AG28" s="13">
        <f t="shared" si="0"/>
        <v>5.2737294651946251E-2</v>
      </c>
      <c r="AH28" s="13">
        <f t="shared" si="1"/>
        <v>5.5907384460920001E-2</v>
      </c>
      <c r="AI28" s="13">
        <f t="shared" si="2"/>
        <v>1.433101723753784E-2</v>
      </c>
    </row>
    <row r="29" spans="1:35" x14ac:dyDescent="0.3">
      <c r="A29" s="16">
        <v>2032</v>
      </c>
      <c r="C29" s="17">
        <v>27839</v>
      </c>
      <c r="E29" s="17">
        <v>9404</v>
      </c>
      <c r="G29" s="17">
        <v>25246</v>
      </c>
      <c r="I29" s="17">
        <v>8532</v>
      </c>
      <c r="K29" s="18">
        <v>60</v>
      </c>
      <c r="M29" s="18">
        <v>1.62</v>
      </c>
      <c r="O29" s="17">
        <v>1528565</v>
      </c>
      <c r="Q29" s="17">
        <v>21803</v>
      </c>
      <c r="S29" s="17">
        <v>82338</v>
      </c>
      <c r="U29" s="17">
        <v>82522</v>
      </c>
      <c r="W29" s="17">
        <v>18000</v>
      </c>
      <c r="Y29" s="17">
        <v>0</v>
      </c>
      <c r="AA29" s="17">
        <v>68224</v>
      </c>
      <c r="AC29" s="17">
        <v>1299285</v>
      </c>
      <c r="AE29" s="17">
        <v>555213</v>
      </c>
      <c r="AG29" s="13">
        <f t="shared" si="0"/>
        <v>5.3866207848537684E-2</v>
      </c>
      <c r="AH29" s="13">
        <f t="shared" si="1"/>
        <v>4.4632711072149368E-2</v>
      </c>
      <c r="AI29" s="13">
        <f t="shared" si="2"/>
        <v>1.4263704847356834E-2</v>
      </c>
    </row>
    <row r="30" spans="1:35" x14ac:dyDescent="0.3">
      <c r="A30" s="16">
        <v>2033</v>
      </c>
      <c r="C30" s="17">
        <v>23750</v>
      </c>
      <c r="E30" s="17">
        <v>7384</v>
      </c>
      <c r="G30" s="17">
        <v>21518</v>
      </c>
      <c r="I30" s="17">
        <v>6693</v>
      </c>
      <c r="K30" s="18">
        <v>60</v>
      </c>
      <c r="M30" s="18">
        <v>1.62</v>
      </c>
      <c r="O30" s="17">
        <v>1301938</v>
      </c>
      <c r="Q30" s="17">
        <v>18533</v>
      </c>
      <c r="S30" s="17">
        <v>111438</v>
      </c>
      <c r="U30" s="17">
        <v>82457</v>
      </c>
      <c r="W30" s="17">
        <v>18000</v>
      </c>
      <c r="Y30" s="17">
        <v>0</v>
      </c>
      <c r="AA30" s="17">
        <v>39078</v>
      </c>
      <c r="AC30" s="17">
        <v>1069497</v>
      </c>
      <c r="AE30" s="17">
        <v>413700</v>
      </c>
      <c r="AG30" s="13">
        <f t="shared" si="0"/>
        <v>8.5593937652945068E-2</v>
      </c>
      <c r="AH30" s="13">
        <f t="shared" si="1"/>
        <v>3.0015254182610845E-2</v>
      </c>
      <c r="AI30" s="13">
        <f t="shared" si="2"/>
        <v>1.4234932846264569E-2</v>
      </c>
    </row>
    <row r="31" spans="1:35" ht="21.9" customHeight="1" x14ac:dyDescent="0.3">
      <c r="A31" s="16">
        <v>2034</v>
      </c>
      <c r="C31" s="17">
        <v>20341</v>
      </c>
      <c r="E31" s="17">
        <v>5699</v>
      </c>
      <c r="G31" s="17">
        <v>18419</v>
      </c>
      <c r="I31" s="17">
        <v>5162</v>
      </c>
      <c r="K31" s="18">
        <v>60</v>
      </c>
      <c r="M31" s="18">
        <v>1.62</v>
      </c>
      <c r="O31" s="17">
        <v>1113459</v>
      </c>
      <c r="Q31" s="17">
        <v>15842</v>
      </c>
      <c r="S31" s="17">
        <v>95393</v>
      </c>
      <c r="U31" s="17">
        <v>82398</v>
      </c>
      <c r="W31" s="17">
        <v>18000</v>
      </c>
      <c r="Y31" s="17">
        <v>0</v>
      </c>
      <c r="AA31" s="17">
        <v>25689</v>
      </c>
      <c r="AC31" s="17">
        <v>907821</v>
      </c>
      <c r="AE31" s="17">
        <v>317876</v>
      </c>
      <c r="AG31" s="13">
        <f t="shared" si="0"/>
        <v>8.5672665091395372E-2</v>
      </c>
      <c r="AH31" s="13">
        <f t="shared" si="1"/>
        <v>2.3071347934679229E-2</v>
      </c>
      <c r="AI31" s="13">
        <f t="shared" si="2"/>
        <v>1.4227735372384614E-2</v>
      </c>
    </row>
    <row r="32" spans="1:35" x14ac:dyDescent="0.3">
      <c r="A32" s="16">
        <v>2035</v>
      </c>
      <c r="C32" s="17">
        <v>17276</v>
      </c>
      <c r="E32" s="17">
        <v>4164</v>
      </c>
      <c r="G32" s="17">
        <v>15635</v>
      </c>
      <c r="I32" s="17">
        <v>3769</v>
      </c>
      <c r="K32" s="18">
        <v>60</v>
      </c>
      <c r="M32" s="18">
        <v>1.62</v>
      </c>
      <c r="O32" s="17">
        <v>944201</v>
      </c>
      <c r="Q32" s="17">
        <v>13134</v>
      </c>
      <c r="S32" s="17">
        <v>80985</v>
      </c>
      <c r="U32" s="17">
        <v>82350</v>
      </c>
      <c r="W32" s="17">
        <v>18000</v>
      </c>
      <c r="Y32" s="17">
        <v>0</v>
      </c>
      <c r="AA32" s="17">
        <v>16382</v>
      </c>
      <c r="AC32" s="17">
        <v>759619</v>
      </c>
      <c r="AE32" s="17">
        <v>240770</v>
      </c>
      <c r="AG32" s="13">
        <f t="shared" si="0"/>
        <v>8.5770932248536061E-2</v>
      </c>
      <c r="AH32" s="13">
        <f t="shared" si="1"/>
        <v>1.7350119307223778E-2</v>
      </c>
      <c r="AI32" s="13">
        <f t="shared" si="2"/>
        <v>1.3910173787149134E-2</v>
      </c>
    </row>
    <row r="33" spans="1:35" x14ac:dyDescent="0.3">
      <c r="A33" s="16">
        <v>2036</v>
      </c>
      <c r="C33" s="17">
        <v>14838</v>
      </c>
      <c r="E33" s="17">
        <v>2941</v>
      </c>
      <c r="G33" s="17">
        <v>13398</v>
      </c>
      <c r="I33" s="17">
        <v>2656</v>
      </c>
      <c r="K33" s="18">
        <v>60</v>
      </c>
      <c r="M33" s="18">
        <v>1.62</v>
      </c>
      <c r="O33" s="17">
        <v>808203</v>
      </c>
      <c r="Q33" s="17">
        <v>11195</v>
      </c>
      <c r="S33" s="17">
        <v>69409</v>
      </c>
      <c r="U33" s="17">
        <v>82165</v>
      </c>
      <c r="W33" s="17">
        <v>18000</v>
      </c>
      <c r="Y33" s="17">
        <v>0</v>
      </c>
      <c r="AA33" s="17">
        <v>9199</v>
      </c>
      <c r="AC33" s="17">
        <v>640625</v>
      </c>
      <c r="AE33" s="17">
        <v>183807</v>
      </c>
      <c r="AG33" s="13">
        <f t="shared" si="0"/>
        <v>8.5880651272019534E-2</v>
      </c>
      <c r="AH33" s="13">
        <f t="shared" si="1"/>
        <v>1.1382041393065851E-2</v>
      </c>
      <c r="AI33" s="13">
        <f t="shared" si="2"/>
        <v>1.3851717947099924E-2</v>
      </c>
    </row>
    <row r="34" spans="1:35" x14ac:dyDescent="0.3">
      <c r="A34" s="16">
        <v>2037</v>
      </c>
      <c r="C34" s="17">
        <v>12706</v>
      </c>
      <c r="E34" s="17">
        <v>1861</v>
      </c>
      <c r="G34" s="17">
        <v>11439</v>
      </c>
      <c r="I34" s="17">
        <v>1676</v>
      </c>
      <c r="K34" s="18">
        <v>60</v>
      </c>
      <c r="M34" s="18">
        <v>1.62</v>
      </c>
      <c r="O34" s="17">
        <v>689055</v>
      </c>
      <c r="Q34" s="17">
        <v>9478</v>
      </c>
      <c r="S34" s="17">
        <v>59265</v>
      </c>
      <c r="U34" s="17">
        <v>81937</v>
      </c>
      <c r="W34" s="17">
        <v>18000</v>
      </c>
      <c r="Y34" s="17">
        <v>0</v>
      </c>
      <c r="AA34" s="17">
        <v>3237</v>
      </c>
      <c r="AC34" s="17">
        <v>536093</v>
      </c>
      <c r="AE34" s="17">
        <v>139234</v>
      </c>
      <c r="AG34" s="13">
        <f t="shared" si="0"/>
        <v>8.6009099418769178E-2</v>
      </c>
      <c r="AH34" s="13">
        <f t="shared" si="1"/>
        <v>4.6977382066743581E-3</v>
      </c>
      <c r="AI34" s="13">
        <f t="shared" si="2"/>
        <v>1.3755070349972063E-2</v>
      </c>
    </row>
    <row r="35" spans="1:35" x14ac:dyDescent="0.3">
      <c r="A35" s="16">
        <v>2038</v>
      </c>
      <c r="C35" s="17">
        <v>11126</v>
      </c>
      <c r="E35" s="17">
        <v>1075</v>
      </c>
      <c r="G35" s="17">
        <v>10012</v>
      </c>
      <c r="I35" s="17">
        <v>967</v>
      </c>
      <c r="K35" s="18">
        <v>60</v>
      </c>
      <c r="M35" s="18">
        <v>1.62</v>
      </c>
      <c r="O35" s="17">
        <v>602282</v>
      </c>
      <c r="Q35" s="17">
        <v>8386</v>
      </c>
      <c r="S35" s="17">
        <v>51879</v>
      </c>
      <c r="U35" s="17">
        <v>81900</v>
      </c>
      <c r="W35" s="17">
        <v>18000</v>
      </c>
      <c r="Y35" s="17">
        <v>0</v>
      </c>
      <c r="AA35" s="17">
        <v>0</v>
      </c>
      <c r="AC35" s="17">
        <v>458888</v>
      </c>
      <c r="AE35" s="17">
        <v>107886</v>
      </c>
      <c r="AG35" s="13">
        <f t="shared" si="0"/>
        <v>8.613739079036066E-2</v>
      </c>
      <c r="AH35" s="13">
        <f t="shared" si="1"/>
        <v>0</v>
      </c>
      <c r="AI35" s="13">
        <f t="shared" si="2"/>
        <v>1.3923710155707791E-2</v>
      </c>
    </row>
    <row r="36" spans="1:35" ht="21.9" customHeight="1" x14ac:dyDescent="0.3">
      <c r="A36" s="16">
        <v>2039</v>
      </c>
      <c r="C36" s="17">
        <v>9838</v>
      </c>
      <c r="E36" s="17">
        <v>437</v>
      </c>
      <c r="G36" s="17">
        <v>8857</v>
      </c>
      <c r="I36" s="17">
        <v>393</v>
      </c>
      <c r="K36" s="18">
        <v>60</v>
      </c>
      <c r="M36" s="18">
        <v>1.62</v>
      </c>
      <c r="O36" s="17">
        <v>532055</v>
      </c>
      <c r="Q36" s="17">
        <v>7531</v>
      </c>
      <c r="S36" s="17">
        <v>45902</v>
      </c>
      <c r="U36" s="17">
        <v>81900</v>
      </c>
      <c r="W36" s="17">
        <v>18000</v>
      </c>
      <c r="Y36" s="17">
        <v>0</v>
      </c>
      <c r="AA36" s="17">
        <v>0</v>
      </c>
      <c r="AC36" s="17">
        <v>393785</v>
      </c>
      <c r="AE36" s="17">
        <v>83805</v>
      </c>
      <c r="AG36" s="13">
        <f t="shared" si="0"/>
        <v>8.6273035682401258E-2</v>
      </c>
      <c r="AH36" s="13">
        <f t="shared" si="1"/>
        <v>0</v>
      </c>
      <c r="AI36" s="13">
        <f t="shared" si="2"/>
        <v>1.4154551691084568E-2</v>
      </c>
    </row>
    <row r="37" spans="1:35" x14ac:dyDescent="0.3">
      <c r="A37" s="16">
        <v>2040</v>
      </c>
      <c r="C37" s="17">
        <v>8645</v>
      </c>
      <c r="E37" s="17">
        <v>0</v>
      </c>
      <c r="G37" s="17">
        <v>7778</v>
      </c>
      <c r="I37" s="17">
        <v>0</v>
      </c>
      <c r="K37" s="18">
        <v>60</v>
      </c>
      <c r="M37" s="18">
        <v>1.62</v>
      </c>
      <c r="O37" s="17">
        <v>466719</v>
      </c>
      <c r="Q37" s="17">
        <v>6729</v>
      </c>
      <c r="S37" s="17">
        <v>40314</v>
      </c>
      <c r="U37" s="17">
        <v>81900</v>
      </c>
      <c r="W37" s="17">
        <v>18000</v>
      </c>
      <c r="Y37" s="17">
        <v>0</v>
      </c>
      <c r="AA37" s="17">
        <v>0</v>
      </c>
      <c r="AC37" s="17">
        <v>333234</v>
      </c>
      <c r="AE37" s="17">
        <v>64196</v>
      </c>
      <c r="AG37" s="13">
        <f t="shared" si="0"/>
        <v>8.63774562424071E-2</v>
      </c>
      <c r="AH37" s="13">
        <f t="shared" si="1"/>
        <v>0</v>
      </c>
      <c r="AI37" s="13">
        <f t="shared" si="2"/>
        <v>1.4417668875704653E-2</v>
      </c>
    </row>
    <row r="38" spans="1:35" x14ac:dyDescent="0.3">
      <c r="A38" s="16">
        <v>2041</v>
      </c>
      <c r="C38" s="17">
        <v>7430</v>
      </c>
      <c r="E38" s="17">
        <v>0</v>
      </c>
      <c r="G38" s="17">
        <v>6687</v>
      </c>
      <c r="I38" s="17">
        <v>0</v>
      </c>
      <c r="K38" s="18">
        <v>60</v>
      </c>
      <c r="M38" s="18">
        <v>1.62</v>
      </c>
      <c r="O38" s="17">
        <v>401176</v>
      </c>
      <c r="Q38" s="17">
        <v>5851</v>
      </c>
      <c r="S38" s="17">
        <v>34654</v>
      </c>
      <c r="U38" s="17">
        <v>81900</v>
      </c>
      <c r="W38" s="17">
        <v>18000</v>
      </c>
      <c r="Y38" s="17">
        <v>0</v>
      </c>
      <c r="AA38" s="17">
        <v>0</v>
      </c>
      <c r="AC38" s="17">
        <v>272473</v>
      </c>
      <c r="AE38" s="17">
        <v>47515</v>
      </c>
      <c r="AG38" s="13">
        <f t="shared" si="0"/>
        <v>8.6381039743155127E-2</v>
      </c>
      <c r="AH38" s="13">
        <f t="shared" si="1"/>
        <v>0</v>
      </c>
      <c r="AI38" s="13">
        <f t="shared" si="2"/>
        <v>1.4584621213631922E-2</v>
      </c>
    </row>
    <row r="39" spans="1:35" x14ac:dyDescent="0.3">
      <c r="A39" s="16">
        <v>2042</v>
      </c>
      <c r="C39" s="17">
        <v>6380</v>
      </c>
      <c r="E39" s="17">
        <v>0</v>
      </c>
      <c r="G39" s="17">
        <v>5743</v>
      </c>
      <c r="I39" s="17">
        <v>0</v>
      </c>
      <c r="K39" s="18">
        <v>60</v>
      </c>
      <c r="M39" s="18">
        <v>1.61</v>
      </c>
      <c r="O39" s="17">
        <v>344627</v>
      </c>
      <c r="Q39" s="17">
        <v>5055</v>
      </c>
      <c r="S39" s="17">
        <v>29774</v>
      </c>
      <c r="U39" s="17">
        <v>81900</v>
      </c>
      <c r="W39" s="17">
        <v>18000</v>
      </c>
      <c r="Y39" s="17">
        <v>0</v>
      </c>
      <c r="AA39" s="17">
        <v>0</v>
      </c>
      <c r="AC39" s="17">
        <v>220008</v>
      </c>
      <c r="AE39" s="17">
        <v>34730</v>
      </c>
      <c r="AG39" s="13">
        <f t="shared" si="0"/>
        <v>8.6394855887669861E-2</v>
      </c>
      <c r="AH39" s="13">
        <f t="shared" si="1"/>
        <v>0</v>
      </c>
      <c r="AI39" s="13">
        <f t="shared" si="2"/>
        <v>1.4668032394443848E-2</v>
      </c>
    </row>
    <row r="40" spans="1:35" x14ac:dyDescent="0.3">
      <c r="A40" s="16">
        <v>2043</v>
      </c>
      <c r="C40" s="17">
        <v>5409</v>
      </c>
      <c r="E40" s="17">
        <v>0</v>
      </c>
      <c r="G40" s="17">
        <v>4870</v>
      </c>
      <c r="I40" s="17">
        <v>0</v>
      </c>
      <c r="K40" s="18">
        <v>60</v>
      </c>
      <c r="M40" s="18">
        <v>1.62</v>
      </c>
      <c r="O40" s="17">
        <v>292196</v>
      </c>
      <c r="Q40" s="17">
        <v>4296</v>
      </c>
      <c r="S40" s="17">
        <v>25247</v>
      </c>
      <c r="U40" s="17">
        <v>81900</v>
      </c>
      <c r="W40" s="17">
        <v>18000</v>
      </c>
      <c r="Y40" s="17">
        <v>0</v>
      </c>
      <c r="AA40" s="17">
        <v>0</v>
      </c>
      <c r="AC40" s="17">
        <v>171345</v>
      </c>
      <c r="AE40" s="17">
        <v>24484</v>
      </c>
      <c r="AG40" s="13">
        <f t="shared" si="0"/>
        <v>8.6404331339238041E-2</v>
      </c>
      <c r="AH40" s="13">
        <f t="shared" si="1"/>
        <v>0</v>
      </c>
      <c r="AI40" s="13">
        <f t="shared" si="2"/>
        <v>1.4702459992607702E-2</v>
      </c>
    </row>
    <row r="41" spans="1:35" ht="21.9" customHeight="1" x14ac:dyDescent="0.3">
      <c r="A41" s="16">
        <v>2044</v>
      </c>
      <c r="C41" s="17">
        <v>4672</v>
      </c>
      <c r="E41" s="17">
        <v>0</v>
      </c>
      <c r="G41" s="17">
        <v>4204</v>
      </c>
      <c r="I41" s="17">
        <v>0</v>
      </c>
      <c r="K41" s="18">
        <v>60</v>
      </c>
      <c r="M41" s="18">
        <v>1.62</v>
      </c>
      <c r="O41" s="17">
        <v>252194</v>
      </c>
      <c r="Q41" s="17">
        <v>3727</v>
      </c>
      <c r="S41" s="17">
        <v>21796</v>
      </c>
      <c r="U41" s="17">
        <v>81900</v>
      </c>
      <c r="W41" s="17">
        <v>18000</v>
      </c>
      <c r="Y41" s="17">
        <v>0</v>
      </c>
      <c r="AA41" s="17">
        <v>0</v>
      </c>
      <c r="AC41" s="17">
        <v>134226</v>
      </c>
      <c r="AE41" s="17">
        <v>17362</v>
      </c>
      <c r="AG41" s="13">
        <f t="shared" si="0"/>
        <v>8.6425529552645985E-2</v>
      </c>
      <c r="AH41" s="13">
        <f t="shared" si="1"/>
        <v>0</v>
      </c>
      <c r="AI41" s="13">
        <f t="shared" si="2"/>
        <v>1.4778305590140923E-2</v>
      </c>
    </row>
    <row r="42" spans="1:35" x14ac:dyDescent="0.3">
      <c r="A42" s="16">
        <v>2045</v>
      </c>
      <c r="C42" s="17">
        <v>3906</v>
      </c>
      <c r="E42" s="17">
        <v>0</v>
      </c>
      <c r="G42" s="17">
        <v>3517</v>
      </c>
      <c r="I42" s="17">
        <v>0</v>
      </c>
      <c r="K42" s="18">
        <v>60</v>
      </c>
      <c r="M42" s="18">
        <v>1.62</v>
      </c>
      <c r="O42" s="17">
        <v>211033</v>
      </c>
      <c r="Q42" s="17">
        <v>3115</v>
      </c>
      <c r="S42" s="17">
        <v>18244</v>
      </c>
      <c r="U42" s="17">
        <v>81900</v>
      </c>
      <c r="W42" s="17">
        <v>18000</v>
      </c>
      <c r="Y42" s="17">
        <v>0</v>
      </c>
      <c r="AA42" s="17">
        <v>0</v>
      </c>
      <c r="AC42" s="17">
        <v>96003</v>
      </c>
      <c r="AE42" s="17">
        <v>11241</v>
      </c>
      <c r="AG42" s="13">
        <f t="shared" si="0"/>
        <v>8.6450934214080261E-2</v>
      </c>
      <c r="AH42" s="13">
        <f t="shared" si="1"/>
        <v>0</v>
      </c>
      <c r="AI42" s="13">
        <f t="shared" si="2"/>
        <v>1.4760724626006359E-2</v>
      </c>
    </row>
    <row r="43" spans="1:35" x14ac:dyDescent="0.3">
      <c r="A43" s="16">
        <v>2046</v>
      </c>
      <c r="C43" s="17">
        <v>3477</v>
      </c>
      <c r="E43" s="17">
        <v>0</v>
      </c>
      <c r="G43" s="17">
        <v>3127</v>
      </c>
      <c r="I43" s="17">
        <v>0</v>
      </c>
      <c r="K43" s="18">
        <v>60</v>
      </c>
      <c r="M43" s="18">
        <v>1.62</v>
      </c>
      <c r="O43" s="17">
        <v>187654</v>
      </c>
      <c r="Q43" s="17">
        <v>2835</v>
      </c>
      <c r="S43" s="17">
        <v>16228</v>
      </c>
      <c r="U43" s="17">
        <v>81900</v>
      </c>
      <c r="W43" s="17">
        <v>18000</v>
      </c>
      <c r="Y43" s="17">
        <v>0</v>
      </c>
      <c r="AA43" s="17">
        <v>0</v>
      </c>
      <c r="AC43" s="17">
        <v>74361</v>
      </c>
      <c r="AE43" s="17">
        <v>7881</v>
      </c>
      <c r="AG43" s="13">
        <f t="shared" si="0"/>
        <v>8.6478305818154688E-2</v>
      </c>
      <c r="AH43" s="13">
        <f t="shared" si="1"/>
        <v>0</v>
      </c>
      <c r="AI43" s="13">
        <f t="shared" si="2"/>
        <v>1.5107591631406738E-2</v>
      </c>
    </row>
    <row r="44" spans="1:35" x14ac:dyDescent="0.3">
      <c r="A44" s="16">
        <v>2047</v>
      </c>
      <c r="C44" s="17">
        <v>3139</v>
      </c>
      <c r="E44" s="17">
        <v>0</v>
      </c>
      <c r="G44" s="17">
        <v>2825</v>
      </c>
      <c r="I44" s="17">
        <v>0</v>
      </c>
      <c r="K44" s="18">
        <v>60</v>
      </c>
      <c r="M44" s="18">
        <v>1.62</v>
      </c>
      <c r="O44" s="17">
        <v>169467</v>
      </c>
      <c r="Q44" s="17">
        <v>2621</v>
      </c>
      <c r="S44" s="17">
        <v>14657</v>
      </c>
      <c r="U44" s="17">
        <v>81900</v>
      </c>
      <c r="W44" s="17">
        <v>18000</v>
      </c>
      <c r="Y44" s="17">
        <v>0</v>
      </c>
      <c r="AA44" s="17">
        <v>0</v>
      </c>
      <c r="AC44" s="17">
        <v>57531</v>
      </c>
      <c r="AE44" s="17">
        <v>5520</v>
      </c>
      <c r="AG44" s="13">
        <f t="shared" si="0"/>
        <v>8.6488814931520594E-2</v>
      </c>
      <c r="AH44" s="13">
        <f t="shared" si="1"/>
        <v>0</v>
      </c>
      <c r="AI44" s="13">
        <f t="shared" si="2"/>
        <v>1.5466137950161388E-2</v>
      </c>
    </row>
    <row r="45" spans="1:35" x14ac:dyDescent="0.3">
      <c r="A45" s="16">
        <v>2048</v>
      </c>
      <c r="C45" s="17">
        <v>2856</v>
      </c>
      <c r="E45" s="17">
        <v>0</v>
      </c>
      <c r="G45" s="17">
        <v>2569</v>
      </c>
      <c r="I45" s="17">
        <v>0</v>
      </c>
      <c r="K45" s="18">
        <v>60</v>
      </c>
      <c r="M45" s="18">
        <v>1.62</v>
      </c>
      <c r="O45" s="17">
        <v>154136</v>
      </c>
      <c r="Q45" s="17">
        <v>2497</v>
      </c>
      <c r="S45" s="17">
        <v>13337</v>
      </c>
      <c r="U45" s="17">
        <v>81900</v>
      </c>
      <c r="W45" s="17">
        <v>18000</v>
      </c>
      <c r="Y45" s="17">
        <v>0</v>
      </c>
      <c r="AA45" s="17">
        <v>0</v>
      </c>
      <c r="AC45" s="17">
        <v>43396</v>
      </c>
      <c r="AE45" s="17">
        <v>3769</v>
      </c>
      <c r="AG45" s="13">
        <f t="shared" si="0"/>
        <v>8.6527482223490937E-2</v>
      </c>
      <c r="AH45" s="13">
        <f t="shared" si="1"/>
        <v>0</v>
      </c>
      <c r="AI45" s="13">
        <f t="shared" si="2"/>
        <v>1.619997923911351E-2</v>
      </c>
    </row>
    <row r="46" spans="1:35" ht="21.9" customHeight="1" x14ac:dyDescent="0.3">
      <c r="A46" s="16">
        <v>2049</v>
      </c>
      <c r="C46" s="17">
        <v>2350</v>
      </c>
      <c r="E46" s="17">
        <v>0</v>
      </c>
      <c r="G46" s="17">
        <v>2117</v>
      </c>
      <c r="I46" s="17">
        <v>0</v>
      </c>
      <c r="K46" s="18">
        <v>60</v>
      </c>
      <c r="M46" s="18">
        <v>1.62</v>
      </c>
      <c r="O46" s="17">
        <v>127043</v>
      </c>
      <c r="Q46" s="17">
        <v>2184</v>
      </c>
      <c r="S46" s="17">
        <v>10997</v>
      </c>
      <c r="U46" s="17">
        <v>81900</v>
      </c>
      <c r="W46" s="17">
        <v>18000</v>
      </c>
      <c r="Y46" s="17">
        <v>0</v>
      </c>
      <c r="AA46" s="17">
        <v>0</v>
      </c>
      <c r="AC46" s="17">
        <v>18330</v>
      </c>
      <c r="AE46" s="17">
        <v>1441</v>
      </c>
      <c r="AG46" s="13">
        <f t="shared" si="0"/>
        <v>8.6561243043693864E-2</v>
      </c>
      <c r="AH46" s="13">
        <f t="shared" si="1"/>
        <v>0</v>
      </c>
      <c r="AI46" s="13">
        <f t="shared" si="2"/>
        <v>1.7191029808804891E-2</v>
      </c>
    </row>
    <row r="47" spans="1:35" x14ac:dyDescent="0.3">
      <c r="A47" s="16">
        <v>2050</v>
      </c>
      <c r="C47" s="17">
        <v>2079</v>
      </c>
      <c r="E47" s="17">
        <v>0</v>
      </c>
      <c r="G47" s="17">
        <v>1871</v>
      </c>
      <c r="I47" s="17">
        <v>0</v>
      </c>
      <c r="K47" s="18">
        <v>60</v>
      </c>
      <c r="M47" s="18">
        <v>1.62</v>
      </c>
      <c r="O47" s="17">
        <v>112230</v>
      </c>
      <c r="Q47" s="17">
        <v>1872</v>
      </c>
      <c r="S47" s="17">
        <v>9715</v>
      </c>
      <c r="U47" s="17">
        <v>81900</v>
      </c>
      <c r="W47" s="17">
        <v>0</v>
      </c>
      <c r="Y47" s="17">
        <v>0</v>
      </c>
      <c r="AA47" s="17">
        <v>0</v>
      </c>
      <c r="AC47" s="17">
        <v>22487</v>
      </c>
      <c r="AE47" s="17">
        <v>1600</v>
      </c>
      <c r="AG47" s="13">
        <f t="shared" si="0"/>
        <v>8.6563307493540048E-2</v>
      </c>
      <c r="AH47" s="13">
        <f t="shared" si="1"/>
        <v>0</v>
      </c>
      <c r="AI47" s="13">
        <f t="shared" si="2"/>
        <v>1.6680032076984763E-2</v>
      </c>
    </row>
    <row r="48" spans="1:35" x14ac:dyDescent="0.3">
      <c r="A48" s="16">
        <v>2051</v>
      </c>
      <c r="C48" s="17">
        <v>1914</v>
      </c>
      <c r="E48" s="17">
        <v>0</v>
      </c>
      <c r="G48" s="17">
        <v>1723</v>
      </c>
      <c r="I48" s="17">
        <v>0</v>
      </c>
      <c r="K48" s="18">
        <v>60</v>
      </c>
      <c r="M48" s="18">
        <v>1.62</v>
      </c>
      <c r="O48" s="17">
        <v>103383</v>
      </c>
      <c r="Q48" s="17">
        <v>1641</v>
      </c>
      <c r="S48" s="17">
        <v>8947</v>
      </c>
      <c r="U48" s="17">
        <v>81900</v>
      </c>
      <c r="W48" s="17">
        <v>0</v>
      </c>
      <c r="Y48" s="17">
        <v>0</v>
      </c>
      <c r="AA48" s="17">
        <v>0</v>
      </c>
      <c r="AC48" s="17">
        <v>14176</v>
      </c>
      <c r="AE48" s="17">
        <v>913</v>
      </c>
      <c r="AG48" s="13">
        <f t="shared" si="0"/>
        <v>8.6542274842092023E-2</v>
      </c>
      <c r="AH48" s="13">
        <f t="shared" si="1"/>
        <v>0</v>
      </c>
      <c r="AI48" s="13">
        <f t="shared" si="2"/>
        <v>1.5873015873015872E-2</v>
      </c>
    </row>
    <row r="49" spans="1:35" x14ac:dyDescent="0.3">
      <c r="A49" s="16">
        <v>2052</v>
      </c>
      <c r="C49" s="17">
        <v>1086</v>
      </c>
      <c r="E49" s="17">
        <v>0</v>
      </c>
      <c r="G49" s="17">
        <v>977</v>
      </c>
      <c r="I49" s="17">
        <v>0</v>
      </c>
      <c r="K49" s="18">
        <v>60</v>
      </c>
      <c r="M49" s="18">
        <v>1.62</v>
      </c>
      <c r="O49" s="17">
        <v>58630</v>
      </c>
      <c r="Q49" s="17">
        <v>929</v>
      </c>
      <c r="S49" s="17">
        <v>5074</v>
      </c>
      <c r="U49" s="17">
        <v>51188</v>
      </c>
      <c r="W49" s="17">
        <v>0</v>
      </c>
      <c r="Y49" s="17">
        <v>0</v>
      </c>
      <c r="AA49" s="17">
        <v>0</v>
      </c>
      <c r="AC49" s="17">
        <v>3298</v>
      </c>
      <c r="AE49" s="17">
        <v>193</v>
      </c>
      <c r="AG49" s="13">
        <f t="shared" si="0"/>
        <v>8.6542725567115814E-2</v>
      </c>
      <c r="AH49" s="13">
        <f t="shared" si="1"/>
        <v>0</v>
      </c>
      <c r="AI49" s="13">
        <f t="shared" si="2"/>
        <v>1.5845130479276822E-2</v>
      </c>
    </row>
    <row r="50" spans="1:35" x14ac:dyDescent="0.3">
      <c r="A50" s="16">
        <v>2053</v>
      </c>
      <c r="C50" s="17">
        <v>0</v>
      </c>
      <c r="E50" s="17">
        <v>0</v>
      </c>
      <c r="G50" s="17">
        <v>0</v>
      </c>
      <c r="I50" s="17">
        <v>0</v>
      </c>
      <c r="K50" s="18">
        <v>0</v>
      </c>
      <c r="M50" s="18">
        <v>0</v>
      </c>
      <c r="O50" s="17">
        <v>0</v>
      </c>
      <c r="Q50" s="17">
        <v>0</v>
      </c>
      <c r="S50" s="17">
        <v>0</v>
      </c>
      <c r="U50" s="17">
        <v>0</v>
      </c>
      <c r="W50" s="17">
        <v>0</v>
      </c>
      <c r="Y50" s="17">
        <v>691155</v>
      </c>
      <c r="AA50" s="17">
        <v>0</v>
      </c>
      <c r="AC50" s="17">
        <v>-691155</v>
      </c>
      <c r="AE50" s="17">
        <v>-36483</v>
      </c>
      <c r="AG50" s="13">
        <f t="shared" si="0"/>
        <v>0</v>
      </c>
      <c r="AH50" s="13">
        <f t="shared" si="1"/>
        <v>0</v>
      </c>
      <c r="AI50" s="13">
        <f t="shared" si="2"/>
        <v>0</v>
      </c>
    </row>
    <row r="51" spans="1:35" ht="21.9" customHeight="1" x14ac:dyDescent="0.3">
      <c r="A51" s="16">
        <v>2054</v>
      </c>
      <c r="C51" s="17">
        <v>0</v>
      </c>
      <c r="E51" s="17">
        <v>0</v>
      </c>
      <c r="G51" s="17">
        <v>0</v>
      </c>
      <c r="I51" s="17">
        <v>0</v>
      </c>
      <c r="K51" s="18">
        <v>0</v>
      </c>
      <c r="M51" s="18">
        <v>0</v>
      </c>
      <c r="O51" s="17">
        <v>0</v>
      </c>
      <c r="Q51" s="17">
        <v>0</v>
      </c>
      <c r="S51" s="17">
        <v>0</v>
      </c>
      <c r="U51" s="17">
        <v>0</v>
      </c>
      <c r="W51" s="17">
        <v>0</v>
      </c>
      <c r="Y51" s="17">
        <v>0</v>
      </c>
      <c r="AA51" s="17">
        <v>0</v>
      </c>
      <c r="AC51" s="17">
        <v>0</v>
      </c>
      <c r="AE51" s="17">
        <v>0</v>
      </c>
      <c r="AG51" s="13">
        <f t="shared" si="0"/>
        <v>0</v>
      </c>
      <c r="AH51" s="13">
        <f t="shared" si="1"/>
        <v>0</v>
      </c>
      <c r="AI51" s="13">
        <f t="shared" si="2"/>
        <v>0</v>
      </c>
    </row>
    <row r="52" spans="1:35" x14ac:dyDescent="0.3">
      <c r="A52" s="16">
        <v>2055</v>
      </c>
      <c r="C52" s="17">
        <v>0</v>
      </c>
      <c r="E52" s="17">
        <v>0</v>
      </c>
      <c r="G52" s="17">
        <v>0</v>
      </c>
      <c r="I52" s="17">
        <v>0</v>
      </c>
      <c r="K52" s="18">
        <v>0</v>
      </c>
      <c r="M52" s="18">
        <v>0</v>
      </c>
      <c r="O52" s="17">
        <v>0</v>
      </c>
      <c r="Q52" s="17">
        <v>0</v>
      </c>
      <c r="S52" s="17">
        <v>0</v>
      </c>
      <c r="U52" s="17">
        <v>0</v>
      </c>
      <c r="W52" s="17">
        <v>0</v>
      </c>
      <c r="Y52" s="17">
        <v>0</v>
      </c>
      <c r="AA52" s="17">
        <v>0</v>
      </c>
      <c r="AC52" s="17">
        <v>0</v>
      </c>
      <c r="AE52" s="17">
        <v>0</v>
      </c>
      <c r="AG52" s="13">
        <f t="shared" si="0"/>
        <v>0</v>
      </c>
      <c r="AH52" s="13">
        <f t="shared" si="1"/>
        <v>0</v>
      </c>
      <c r="AI52" s="13">
        <f t="shared" si="2"/>
        <v>0</v>
      </c>
    </row>
    <row r="53" spans="1:35" x14ac:dyDescent="0.3">
      <c r="A53" s="16">
        <v>2056</v>
      </c>
      <c r="C53" s="17">
        <v>0</v>
      </c>
      <c r="E53" s="17">
        <v>0</v>
      </c>
      <c r="G53" s="17">
        <v>0</v>
      </c>
      <c r="I53" s="17">
        <v>0</v>
      </c>
      <c r="K53" s="18">
        <v>0</v>
      </c>
      <c r="M53" s="18">
        <v>0</v>
      </c>
      <c r="O53" s="17">
        <v>0</v>
      </c>
      <c r="Q53" s="17">
        <v>0</v>
      </c>
      <c r="S53" s="17">
        <v>0</v>
      </c>
      <c r="U53" s="17">
        <v>0</v>
      </c>
      <c r="W53" s="17">
        <v>0</v>
      </c>
      <c r="Y53" s="17">
        <v>0</v>
      </c>
      <c r="AA53" s="17">
        <v>0</v>
      </c>
      <c r="AC53" s="17">
        <v>0</v>
      </c>
      <c r="AE53" s="17">
        <v>0</v>
      </c>
      <c r="AG53" s="13">
        <f t="shared" si="0"/>
        <v>0</v>
      </c>
      <c r="AH53" s="13">
        <f t="shared" si="1"/>
        <v>0</v>
      </c>
      <c r="AI53" s="13">
        <f t="shared" si="2"/>
        <v>0</v>
      </c>
    </row>
    <row r="54" spans="1:35" x14ac:dyDescent="0.3">
      <c r="A54" s="16">
        <v>2057</v>
      </c>
      <c r="C54" s="17">
        <v>0</v>
      </c>
      <c r="E54" s="17">
        <v>0</v>
      </c>
      <c r="G54" s="17">
        <v>0</v>
      </c>
      <c r="I54" s="17">
        <v>0</v>
      </c>
      <c r="K54" s="18">
        <v>0</v>
      </c>
      <c r="M54" s="18">
        <v>0</v>
      </c>
      <c r="O54" s="17">
        <v>0</v>
      </c>
      <c r="Q54" s="17">
        <v>0</v>
      </c>
      <c r="S54" s="17">
        <v>0</v>
      </c>
      <c r="U54" s="17">
        <v>0</v>
      </c>
      <c r="W54" s="17">
        <v>0</v>
      </c>
      <c r="Y54" s="17">
        <v>0</v>
      </c>
      <c r="AA54" s="17">
        <v>0</v>
      </c>
      <c r="AC54" s="17">
        <v>0</v>
      </c>
      <c r="AE54" s="17">
        <v>0</v>
      </c>
      <c r="AG54" s="13">
        <f t="shared" si="0"/>
        <v>0</v>
      </c>
      <c r="AH54" s="13">
        <f t="shared" si="1"/>
        <v>0</v>
      </c>
      <c r="AI54" s="13">
        <f t="shared" si="2"/>
        <v>0</v>
      </c>
    </row>
    <row r="55" spans="1:35" x14ac:dyDescent="0.3">
      <c r="A55" s="16">
        <v>2058</v>
      </c>
      <c r="C55" s="17">
        <v>0</v>
      </c>
      <c r="E55" s="17">
        <v>0</v>
      </c>
      <c r="G55" s="17">
        <v>0</v>
      </c>
      <c r="I55" s="17">
        <v>0</v>
      </c>
      <c r="K55" s="18">
        <v>0</v>
      </c>
      <c r="M55" s="18">
        <v>0</v>
      </c>
      <c r="O55" s="17">
        <v>0</v>
      </c>
      <c r="Q55" s="17">
        <v>0</v>
      </c>
      <c r="S55" s="17">
        <v>0</v>
      </c>
      <c r="U55" s="17">
        <v>0</v>
      </c>
      <c r="W55" s="17">
        <v>0</v>
      </c>
      <c r="Y55" s="17">
        <v>0</v>
      </c>
      <c r="AA55" s="17">
        <v>0</v>
      </c>
      <c r="AC55" s="17">
        <v>0</v>
      </c>
      <c r="AE55" s="17">
        <v>0</v>
      </c>
      <c r="AG55" s="13">
        <f t="shared" si="0"/>
        <v>0</v>
      </c>
      <c r="AH55" s="13">
        <f t="shared" si="1"/>
        <v>0</v>
      </c>
      <c r="AI55" s="13">
        <f t="shared" si="2"/>
        <v>0</v>
      </c>
    </row>
    <row r="56" spans="1:35" ht="21.9" customHeight="1" x14ac:dyDescent="0.3">
      <c r="A56" s="16">
        <v>2059</v>
      </c>
      <c r="C56" s="17">
        <v>0</v>
      </c>
      <c r="E56" s="17">
        <v>0</v>
      </c>
      <c r="G56" s="17">
        <v>0</v>
      </c>
      <c r="I56" s="17">
        <v>0</v>
      </c>
      <c r="K56" s="18">
        <v>0</v>
      </c>
      <c r="M56" s="18">
        <v>0</v>
      </c>
      <c r="O56" s="17">
        <v>0</v>
      </c>
      <c r="Q56" s="17">
        <v>0</v>
      </c>
      <c r="S56" s="17">
        <v>0</v>
      </c>
      <c r="U56" s="17">
        <v>0</v>
      </c>
      <c r="W56" s="17">
        <v>0</v>
      </c>
      <c r="Y56" s="17">
        <v>0</v>
      </c>
      <c r="AA56" s="17">
        <v>0</v>
      </c>
      <c r="AC56" s="17">
        <v>0</v>
      </c>
      <c r="AE56" s="17">
        <v>0</v>
      </c>
      <c r="AG56" s="13">
        <f t="shared" si="0"/>
        <v>0</v>
      </c>
      <c r="AH56" s="13">
        <f t="shared" si="1"/>
        <v>0</v>
      </c>
      <c r="AI56" s="13">
        <f t="shared" si="2"/>
        <v>0</v>
      </c>
    </row>
    <row r="57" spans="1:35" x14ac:dyDescent="0.3">
      <c r="A57" s="16">
        <v>2060</v>
      </c>
      <c r="C57" s="19">
        <v>0</v>
      </c>
      <c r="E57" s="19">
        <v>0</v>
      </c>
      <c r="G57" s="19">
        <v>0</v>
      </c>
      <c r="I57" s="19">
        <v>0</v>
      </c>
      <c r="K57" s="18">
        <v>0</v>
      </c>
      <c r="M57" s="18">
        <v>0</v>
      </c>
      <c r="O57" s="19">
        <v>0</v>
      </c>
      <c r="Q57" s="19">
        <v>0</v>
      </c>
      <c r="S57" s="19">
        <v>0</v>
      </c>
      <c r="U57" s="19">
        <v>0</v>
      </c>
      <c r="W57" s="19">
        <v>0</v>
      </c>
      <c r="Y57" s="19">
        <v>0</v>
      </c>
      <c r="AA57" s="19">
        <v>0</v>
      </c>
      <c r="AC57" s="19">
        <v>0</v>
      </c>
      <c r="AE57" s="19">
        <v>0</v>
      </c>
      <c r="AG57" s="13">
        <f t="shared" si="0"/>
        <v>0</v>
      </c>
      <c r="AH57" s="13">
        <f t="shared" si="1"/>
        <v>0</v>
      </c>
      <c r="AI57" s="13">
        <f t="shared" si="2"/>
        <v>0</v>
      </c>
    </row>
    <row r="58" spans="1:35" x14ac:dyDescent="0.3">
      <c r="AG58" s="13"/>
      <c r="AH58" s="13"/>
      <c r="AI58" s="13"/>
    </row>
    <row r="59" spans="1:35" x14ac:dyDescent="0.3">
      <c r="A59" s="231" t="s">
        <v>2</v>
      </c>
      <c r="C59" s="232">
        <v>433586</v>
      </c>
      <c r="E59" s="232">
        <v>124967</v>
      </c>
      <c r="G59" s="232">
        <v>394422</v>
      </c>
      <c r="I59" s="232">
        <v>114057</v>
      </c>
      <c r="O59" s="232">
        <v>23850057</v>
      </c>
      <c r="Q59" s="232">
        <v>373655</v>
      </c>
      <c r="S59" s="232">
        <v>1598700</v>
      </c>
      <c r="U59" s="232">
        <v>2357548</v>
      </c>
      <c r="W59" s="232">
        <v>1653868</v>
      </c>
      <c r="Y59" s="232">
        <v>761355</v>
      </c>
      <c r="AA59" s="232">
        <v>960917</v>
      </c>
      <c r="AC59" s="232">
        <v>16891323</v>
      </c>
      <c r="AE59" s="232">
        <v>8625240</v>
      </c>
      <c r="AG59" s="13"/>
      <c r="AH59" s="13"/>
      <c r="AI59" s="13"/>
    </row>
    <row r="60" spans="1:35" x14ac:dyDescent="0.3">
      <c r="AG60" s="13"/>
      <c r="AH60" s="13"/>
      <c r="AI60" s="13"/>
    </row>
    <row r="61" spans="1:35" ht="21.9" customHeight="1" x14ac:dyDescent="0.3">
      <c r="A61" t="s">
        <v>47</v>
      </c>
      <c r="AC61" s="228" t="s">
        <v>729</v>
      </c>
      <c r="AD61" s="15"/>
      <c r="AE61" s="15"/>
      <c r="AG61" s="13"/>
      <c r="AH61" s="13"/>
      <c r="AI61" s="13"/>
    </row>
    <row r="62" spans="1:35" x14ac:dyDescent="0.3">
      <c r="A62" t="s">
        <v>82</v>
      </c>
      <c r="AC62" s="20" t="s">
        <v>48</v>
      </c>
      <c r="AE62" s="17">
        <v>11874100</v>
      </c>
      <c r="AG62" s="13"/>
      <c r="AH62" s="13"/>
      <c r="AI62" s="13"/>
    </row>
    <row r="63" spans="1:35" x14ac:dyDescent="0.3">
      <c r="A63" t="s">
        <v>83</v>
      </c>
      <c r="AC63" s="20" t="s">
        <v>49</v>
      </c>
      <c r="AE63" s="17">
        <v>6483861</v>
      </c>
      <c r="AG63" s="13"/>
      <c r="AH63" s="13"/>
      <c r="AI63" s="13"/>
    </row>
    <row r="64" spans="1:35" x14ac:dyDescent="0.3">
      <c r="A64" t="s">
        <v>84</v>
      </c>
      <c r="AC64" s="20" t="s">
        <v>50</v>
      </c>
      <c r="AE64" s="17">
        <v>5026387</v>
      </c>
      <c r="AG64" s="13"/>
      <c r="AH64" s="13"/>
      <c r="AI64" s="13"/>
    </row>
    <row r="65" spans="1:1" x14ac:dyDescent="0.3">
      <c r="A65" t="s">
        <v>85</v>
      </c>
    </row>
    <row r="66" spans="1:1" x14ac:dyDescent="0.3">
      <c r="A66" t="s">
        <v>730</v>
      </c>
    </row>
    <row r="67" spans="1:1" x14ac:dyDescent="0.3">
      <c r="A67" s="233" t="s">
        <v>731</v>
      </c>
    </row>
    <row r="68" spans="1:1" x14ac:dyDescent="0.3">
      <c r="A68" t="s">
        <v>732</v>
      </c>
    </row>
    <row r="69" spans="1:1" x14ac:dyDescent="0.3">
      <c r="A69" s="233" t="s">
        <v>733</v>
      </c>
    </row>
  </sheetData>
  <printOptions horizontalCentered="1"/>
  <pageMargins left="0.5" right="0.5" top="0.75" bottom="1" header="0.3" footer="0.3"/>
  <pageSetup scale="41"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9</vt:i4>
      </vt:variant>
    </vt:vector>
  </HeadingPairs>
  <TitlesOfParts>
    <vt:vector size="30" baseType="lpstr">
      <vt:lpstr>FRADE &amp; WAHOO TP</vt:lpstr>
      <vt:lpstr>FRADE &amp; WAHOO 2P</vt:lpstr>
      <vt:lpstr>FRADE &amp; WAHOO 3P</vt:lpstr>
      <vt:lpstr>Polvo &amp; TBMT TP</vt:lpstr>
      <vt:lpstr>Polvo &amp; TBMT 2P</vt:lpstr>
      <vt:lpstr>Polvo &amp; TBMT 3P</vt:lpstr>
      <vt:lpstr>Albacora Leste TP</vt:lpstr>
      <vt:lpstr>Albacora Leste 2P</vt:lpstr>
      <vt:lpstr>Albacora Leste 3P</vt:lpstr>
      <vt:lpstr>Receita Líquida - O&amp;G</vt:lpstr>
      <vt:lpstr>CAPEX, Impostos e Abandono ($)</vt:lpstr>
      <vt:lpstr>CAPEX, D&amp;A, Imob&amp;Intang</vt:lpstr>
      <vt:lpstr>Resultado Financeiro e Dívida</vt:lpstr>
      <vt:lpstr>Balanço Planilhado</vt:lpstr>
      <vt:lpstr>Fluxo de Caixa dos Acionistas</vt:lpstr>
      <vt:lpstr>Avaliação e Simulações</vt:lpstr>
      <vt:lpstr>Drivers Macroeconômico</vt:lpstr>
      <vt:lpstr>DRE - Economática</vt:lpstr>
      <vt:lpstr>Fluxo de Caixa Planilhado</vt:lpstr>
      <vt:lpstr>Infos - Release Operacional</vt:lpstr>
      <vt:lpstr>Gráficos - Monografia</vt:lpstr>
      <vt:lpstr>'Albacora Leste 2P'!Area_de_impressao</vt:lpstr>
      <vt:lpstr>'Albacora Leste 3P'!Area_de_impressao</vt:lpstr>
      <vt:lpstr>'Albacora Leste TP'!Area_de_impressao</vt:lpstr>
      <vt:lpstr>'FRADE &amp; WAHOO 2P'!Area_de_impressao</vt:lpstr>
      <vt:lpstr>'FRADE &amp; WAHOO 3P'!Area_de_impressao</vt:lpstr>
      <vt:lpstr>'FRADE &amp; WAHOO TP'!Area_de_impressao</vt:lpstr>
      <vt:lpstr>'Polvo &amp; TBMT 2P'!Area_de_impressao</vt:lpstr>
      <vt:lpstr>'Polvo &amp; TBMT 3P'!Area_de_impressao</vt:lpstr>
      <vt:lpstr>'Polvo &amp; TBMT TP'!Area_de_impressao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Gabriel Correa</cp:lastModifiedBy>
  <cp:lastPrinted>2023-11-17T00:44:06Z</cp:lastPrinted>
  <dcterms:created xsi:type="dcterms:W3CDTF">2022-10-19T16:46:10Z</dcterms:created>
  <dcterms:modified xsi:type="dcterms:W3CDTF">2024-05-19T21:54:19Z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{F211736B-9767-4FDF-8A09-514E69B2FC88}</vt:lpwstr>
  </property>
</Properties>
</file>